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C8F"/>
  <workbookPr/>
  <bookViews>
    <workbookView xWindow="120" yWindow="105" windowWidth="12780" windowHeight="6795" firstSheet="2" activeTab="4"/>
  </bookViews>
  <sheets>
    <sheet name="Montant remb annuel total" sheetId="1" r:id="rId1"/>
    <sheet name="Nombre de patients (mensuel)" sheetId="2" r:id="rId2"/>
    <sheet name="Montant remb annuel (ATC)" sheetId="3" r:id="rId3"/>
    <sheet name="% Montant remb annuel (ATC)" sheetId="4" r:id="rId4"/>
    <sheet name="% Patient (ATC)" sheetId="5" r:id="rId5"/>
    <sheet name="Nombre de patient (ATC)" sheetId="6" r:id="rId6"/>
    <sheet name="% PM unités (ATC)" sheetId="7" r:id="rId7"/>
    <sheet name="unités mensuelles (ATC)" sheetId="8" r:id="rId8"/>
    <sheet name="unités mensuelles (CIP) (%)" sheetId="9" r:id="rId9"/>
    <sheet name="unités mensuelles (CIP)" sheetId="10" r:id="rId10"/>
    <sheet name="Req1" sheetId="11" r:id="rId11"/>
    <sheet name="Req2" sheetId="12" r:id="rId12"/>
    <sheet name="Req3" sheetId="13" r:id="rId13"/>
  </sheets>
  <definedNames/>
  <calcPr fullCalcOnLoad="1"/>
</workbook>
</file>

<file path=xl/sharedStrings.xml><?xml version="1.0" encoding="utf-8"?>
<sst xmlns="http://schemas.openxmlformats.org/spreadsheetml/2006/main" count="479" uniqueCount="114">
  <si>
    <t>Hypolipémiant</t>
  </si>
  <si>
    <t>Simvastatine 10mg</t>
  </si>
  <si>
    <t>Simvastatine 20mg</t>
  </si>
  <si>
    <t>Simvastatine 40mg</t>
  </si>
  <si>
    <t>Pravastatine 20mg</t>
  </si>
  <si>
    <t>Pravastatine 40mg</t>
  </si>
  <si>
    <t>Fluvastatine 20mg</t>
  </si>
  <si>
    <t>Fluvastatine 40mg</t>
  </si>
  <si>
    <t>Fluvastatine 80mg</t>
  </si>
  <si>
    <t>TAHOR 10mg</t>
  </si>
  <si>
    <t>TAHOR 20mg</t>
  </si>
  <si>
    <t>TAHOR 40mg</t>
  </si>
  <si>
    <t>TAHOR 80mg</t>
  </si>
  <si>
    <t>CRESTOR 5mg</t>
  </si>
  <si>
    <t>CRESTOR 10mg</t>
  </si>
  <si>
    <t>CRESTOR 20mg</t>
  </si>
  <si>
    <t>EZETROL 10mg</t>
  </si>
  <si>
    <t>INEGY 10/20mg</t>
  </si>
  <si>
    <t>INEGY 10/40mg</t>
  </si>
  <si>
    <t>LIPUR 450mg</t>
  </si>
  <si>
    <t>Fénofibrate 67mg</t>
  </si>
  <si>
    <t>Fénofibrate 100mg</t>
  </si>
  <si>
    <t>Fénofibrate 140mg</t>
  </si>
  <si>
    <t>Fénofibrate 145mg</t>
  </si>
  <si>
    <t>Fénofibrate 160mg</t>
  </si>
  <si>
    <t>Fénofibrate 200mg</t>
  </si>
  <si>
    <t>Fénofibrate 300mg</t>
  </si>
  <si>
    <t>Simvastatine</t>
  </si>
  <si>
    <t>Pravastatine</t>
  </si>
  <si>
    <t>Fluvastatine</t>
  </si>
  <si>
    <t>TAHOR</t>
  </si>
  <si>
    <t>CRESTOR</t>
  </si>
  <si>
    <t>EZETROL</t>
  </si>
  <si>
    <t>INEGY</t>
  </si>
  <si>
    <t>LIPUR</t>
  </si>
  <si>
    <t>Fénofibrate</t>
  </si>
  <si>
    <t>Total panier</t>
  </si>
  <si>
    <t>Statines de 1er choix</t>
  </si>
  <si>
    <t>PRAVADUAL 40/81mg</t>
  </si>
  <si>
    <t>PRAVADUAL</t>
  </si>
  <si>
    <t>Statines "stricto sensu"</t>
  </si>
  <si>
    <t>%</t>
  </si>
  <si>
    <t>Pravastatine 10mg</t>
  </si>
  <si>
    <t>Simvastatine 10mg (ZOCOR®/LODALÈS®)</t>
  </si>
  <si>
    <t>Simvastatine 20mg (ZOCOR®/LODALÈS®)</t>
  </si>
  <si>
    <t>Simvastatine 40mg (ZOCOR®/LODALÈS®)</t>
  </si>
  <si>
    <t>Pravastatine 10mg (ÉLISOR®/VASTEN®)</t>
  </si>
  <si>
    <t>Pravastatine 20mg (ÉLISOR®/VASTEN®)</t>
  </si>
  <si>
    <t>Pravastatine 40mg (ÉLISOR®/VASTEN®)</t>
  </si>
  <si>
    <t>PRAVADUAL® 40/81mg</t>
  </si>
  <si>
    <t>Fluvastatine 20mg (FRACTAL®/LESCOL®)</t>
  </si>
  <si>
    <t>Fluvastatine 40mg (FRACTAL®/LESCOL®)</t>
  </si>
  <si>
    <t>Fluvastatine 80mg (FRACTAL®/LESCOL®)</t>
  </si>
  <si>
    <t>TAHOR® 10mg</t>
  </si>
  <si>
    <t>TAHOR® 20mg</t>
  </si>
  <si>
    <t>TAHOR® 40mg</t>
  </si>
  <si>
    <t>TAHOR® 80mg</t>
  </si>
  <si>
    <t>CRESTOR® 5mg</t>
  </si>
  <si>
    <t>CRESTOR® 10mg</t>
  </si>
  <si>
    <t>CRESTOR® 20mg</t>
  </si>
  <si>
    <t>ÉZÉTROL® 10mg</t>
  </si>
  <si>
    <t>INÉGY® 10/20mg</t>
  </si>
  <si>
    <t>INÉGY® 10/40mg</t>
  </si>
  <si>
    <t>LIPUR® 450mg</t>
  </si>
  <si>
    <t>Fénofibrate 67mg (LIPANTHYL®)</t>
  </si>
  <si>
    <t>Fénofibrate 100mg (LIPANTHYL®)</t>
  </si>
  <si>
    <t>Fénofibrate 140mg (LIPANTHYL®)</t>
  </si>
  <si>
    <t>Fénofibrate 145mg (LIPANTHYL®)</t>
  </si>
  <si>
    <t>Fénofibrate 160mg (LIPANTHYL®)</t>
  </si>
  <si>
    <t>Fénofibrate 200mg (LIPANTHYL®)</t>
  </si>
  <si>
    <t>Fénofibrate 300mg (LIPANTHYL®)</t>
  </si>
  <si>
    <t>CADUET® (=TAHOR® 10mg)</t>
  </si>
  <si>
    <t>CADUET</t>
  </si>
  <si>
    <t>Coller ici Req1       Ordre</t>
  </si>
  <si>
    <t xml:space="preserve"> Hypolipémiant</t>
  </si>
  <si>
    <t xml:space="preserve"> Ordre</t>
  </si>
  <si>
    <t>Coller ici Req2       Ordre</t>
  </si>
  <si>
    <t>Coller ici Req3       Ordre</t>
  </si>
  <si>
    <t>CPAM de Montpellier - Montants remboursés</t>
  </si>
  <si>
    <t>CPAM  de Montpellier - Patients remboursés</t>
  </si>
  <si>
    <t>CPAM  de Montpellier - Boites remboursées</t>
  </si>
  <si>
    <t>juin-5</t>
  </si>
  <si>
    <t>juil-5</t>
  </si>
  <si>
    <t>août-5</t>
  </si>
  <si>
    <t>sept-5</t>
  </si>
  <si>
    <t>oct-5</t>
  </si>
  <si>
    <t>nov-5</t>
  </si>
  <si>
    <t>déc-5</t>
  </si>
  <si>
    <t>janv-6</t>
  </si>
  <si>
    <t>févr-6</t>
  </si>
  <si>
    <t>mars-6</t>
  </si>
  <si>
    <t>avr-6</t>
  </si>
  <si>
    <t>mai-6</t>
  </si>
  <si>
    <t>juin-6</t>
  </si>
  <si>
    <t>juil-6</t>
  </si>
  <si>
    <t>août-6</t>
  </si>
  <si>
    <t>sept-6</t>
  </si>
  <si>
    <t>oct-6</t>
  </si>
  <si>
    <t>nov-6</t>
  </si>
  <si>
    <t>déc-6</t>
  </si>
  <si>
    <t>jan-7</t>
  </si>
  <si>
    <t>juil-4</t>
  </si>
  <si>
    <t>août-4</t>
  </si>
  <si>
    <t>sept-4</t>
  </si>
  <si>
    <t>oct-4</t>
  </si>
  <si>
    <t>nov-4</t>
  </si>
  <si>
    <t>déc-4</t>
  </si>
  <si>
    <t>janv-5</t>
  </si>
  <si>
    <t>fév-5</t>
  </si>
  <si>
    <t>mars-5</t>
  </si>
  <si>
    <t>avr-5</t>
  </si>
  <si>
    <t>mai-5</t>
  </si>
  <si>
    <t>fév-6</t>
  </si>
  <si>
    <t>déc04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</si>
</sst>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#\ ##,000&quot; €&quot;;\-#\ ##,000&quot; €&quot;"/>
    <numFmt numFmtId="170" formatCode="#,##0\ &quot;€&quot;"/>
    <numFmt numFmtId="171" formatCode="#,##0.00\ &quot;€&quot;"/>
  </numFmts>
  <fonts count="2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9.75"/>
      <name val="Arial"/>
      <family val="0"/>
    </font>
    <font>
      <b/>
      <sz val="13.75"/>
      <name val="Arial"/>
      <family val="2"/>
    </font>
    <font>
      <sz val="9.75"/>
      <name val="Arial"/>
      <family val="0"/>
    </font>
    <font>
      <sz val="13.75"/>
      <name val="Arial"/>
      <family val="2"/>
    </font>
    <font>
      <b/>
      <sz val="15"/>
      <name val="Arial"/>
      <family val="2"/>
    </font>
    <font>
      <sz val="10.25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12"/>
      <color indexed="26"/>
      <name val="Arial"/>
      <family val="2"/>
    </font>
    <font>
      <sz val="10"/>
      <color indexed="26"/>
      <name val="Arial"/>
      <family val="2"/>
    </font>
    <font>
      <b/>
      <sz val="12"/>
      <name val="Arial"/>
      <family val="2"/>
    </font>
    <font>
      <vertAlign val="superscript"/>
      <sz val="9.75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2" borderId="1" xfId="19" applyFont="1" applyFill="1" applyBorder="1" applyAlignment="1">
      <alignment wrapText="1"/>
      <protection/>
    </xf>
    <xf numFmtId="0" fontId="1" fillId="2" borderId="2" xfId="19" applyFont="1" applyFill="1" applyBorder="1" applyAlignment="1">
      <alignment wrapText="1"/>
      <protection/>
    </xf>
    <xf numFmtId="0" fontId="3" fillId="2" borderId="3" xfId="19" applyFont="1" applyFill="1" applyBorder="1" applyAlignment="1">
      <alignment wrapText="1"/>
      <protection/>
    </xf>
    <xf numFmtId="170" fontId="0" fillId="3" borderId="1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168" fontId="4" fillId="3" borderId="3" xfId="0" applyNumberFormat="1" applyFont="1" applyFill="1" applyBorder="1" applyAlignment="1">
      <alignment/>
    </xf>
    <xf numFmtId="0" fontId="1" fillId="2" borderId="3" xfId="19" applyFont="1" applyFill="1" applyBorder="1" applyAlignment="1">
      <alignment wrapText="1"/>
      <protection/>
    </xf>
    <xf numFmtId="170" fontId="0" fillId="3" borderId="3" xfId="0" applyNumberFormat="1" applyFill="1" applyBorder="1" applyAlignment="1">
      <alignment/>
    </xf>
    <xf numFmtId="0" fontId="9" fillId="2" borderId="2" xfId="19" applyFont="1" applyFill="1" applyBorder="1" applyAlignment="1">
      <alignment wrapText="1"/>
      <protection/>
    </xf>
    <xf numFmtId="168" fontId="0" fillId="3" borderId="3" xfId="0" applyNumberFormat="1" applyFill="1" applyBorder="1" applyAlignment="1">
      <alignment/>
    </xf>
    <xf numFmtId="0" fontId="3" fillId="2" borderId="2" xfId="19" applyFont="1" applyFill="1" applyBorder="1" applyAlignment="1">
      <alignment wrapText="1"/>
      <protection/>
    </xf>
    <xf numFmtId="17" fontId="3" fillId="4" borderId="2" xfId="20" applyNumberFormat="1" applyFont="1" applyFill="1" applyBorder="1" applyAlignment="1">
      <alignment horizontal="center"/>
      <protection/>
    </xf>
    <xf numFmtId="170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170" fontId="4" fillId="3" borderId="5" xfId="0" applyNumberFormat="1" applyFont="1" applyFill="1" applyBorder="1" applyAlignment="1">
      <alignment/>
    </xf>
    <xf numFmtId="0" fontId="3" fillId="3" borderId="2" xfId="19" applyFont="1" applyFill="1" applyBorder="1" applyAlignment="1">
      <alignment wrapText="1"/>
      <protection/>
    </xf>
    <xf numFmtId="170" fontId="4" fillId="3" borderId="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5" borderId="1" xfId="19" applyFont="1" applyFill="1" applyBorder="1" applyAlignment="1">
      <alignment wrapText="1"/>
      <protection/>
    </xf>
    <xf numFmtId="3" fontId="0" fillId="6" borderId="1" xfId="0" applyNumberFormat="1" applyFill="1" applyBorder="1" applyAlignment="1">
      <alignment/>
    </xf>
    <xf numFmtId="0" fontId="1" fillId="5" borderId="2" xfId="19" applyFont="1" applyFill="1" applyBorder="1" applyAlignment="1">
      <alignment wrapText="1"/>
      <protection/>
    </xf>
    <xf numFmtId="3" fontId="0" fillId="6" borderId="2" xfId="0" applyNumberFormat="1" applyFill="1" applyBorder="1" applyAlignment="1">
      <alignment/>
    </xf>
    <xf numFmtId="0" fontId="3" fillId="5" borderId="3" xfId="19" applyFont="1" applyFill="1" applyBorder="1" applyAlignment="1">
      <alignment wrapText="1"/>
      <protection/>
    </xf>
    <xf numFmtId="168" fontId="0" fillId="6" borderId="1" xfId="0" applyNumberFormat="1" applyFill="1" applyBorder="1" applyAlignment="1">
      <alignment/>
    </xf>
    <xf numFmtId="168" fontId="0" fillId="6" borderId="2" xfId="0" applyNumberFormat="1" applyFill="1" applyBorder="1" applyAlignment="1">
      <alignment/>
    </xf>
    <xf numFmtId="168" fontId="4" fillId="6" borderId="3" xfId="0" applyNumberFormat="1" applyFont="1" applyFill="1" applyBorder="1" applyAlignment="1">
      <alignment/>
    </xf>
    <xf numFmtId="0" fontId="1" fillId="5" borderId="3" xfId="19" applyFont="1" applyFill="1" applyBorder="1" applyAlignment="1">
      <alignment wrapText="1"/>
      <protection/>
    </xf>
    <xf numFmtId="168" fontId="0" fillId="6" borderId="3" xfId="0" applyNumberFormat="1" applyFill="1" applyBorder="1" applyAlignment="1">
      <alignment/>
    </xf>
    <xf numFmtId="3" fontId="0" fillId="6" borderId="3" xfId="0" applyNumberFormat="1" applyFill="1" applyBorder="1" applyAlignment="1">
      <alignment/>
    </xf>
    <xf numFmtId="0" fontId="1" fillId="7" borderId="1" xfId="19" applyFont="1" applyFill="1" applyBorder="1" applyAlignment="1">
      <alignment wrapText="1"/>
      <protection/>
    </xf>
    <xf numFmtId="3" fontId="0" fillId="8" borderId="1" xfId="0" applyNumberFormat="1" applyFill="1" applyBorder="1" applyAlignment="1">
      <alignment/>
    </xf>
    <xf numFmtId="0" fontId="1" fillId="7" borderId="2" xfId="19" applyFont="1" applyFill="1" applyBorder="1" applyAlignment="1">
      <alignment wrapText="1"/>
      <protection/>
    </xf>
    <xf numFmtId="3" fontId="0" fillId="8" borderId="2" xfId="0" applyNumberFormat="1" applyFill="1" applyBorder="1" applyAlignment="1">
      <alignment/>
    </xf>
    <xf numFmtId="0" fontId="3" fillId="7" borderId="3" xfId="19" applyFont="1" applyFill="1" applyBorder="1" applyAlignment="1">
      <alignment wrapText="1"/>
      <protection/>
    </xf>
    <xf numFmtId="168" fontId="0" fillId="8" borderId="1" xfId="0" applyNumberFormat="1" applyFill="1" applyBorder="1" applyAlignment="1">
      <alignment/>
    </xf>
    <xf numFmtId="168" fontId="0" fillId="8" borderId="2" xfId="0" applyNumberFormat="1" applyFill="1" applyBorder="1" applyAlignment="1">
      <alignment/>
    </xf>
    <xf numFmtId="0" fontId="1" fillId="7" borderId="3" xfId="19" applyFont="1" applyFill="1" applyBorder="1" applyAlignment="1">
      <alignment wrapText="1"/>
      <protection/>
    </xf>
    <xf numFmtId="3" fontId="0" fillId="8" borderId="3" xfId="0" applyNumberFormat="1" applyFill="1" applyBorder="1" applyAlignment="1">
      <alignment/>
    </xf>
    <xf numFmtId="0" fontId="3" fillId="7" borderId="2" xfId="19" applyFont="1" applyFill="1" applyBorder="1" applyAlignment="1">
      <alignment wrapText="1"/>
      <protection/>
    </xf>
    <xf numFmtId="168" fontId="0" fillId="8" borderId="3" xfId="0" applyNumberFormat="1" applyFill="1" applyBorder="1" applyAlignment="1">
      <alignment/>
    </xf>
    <xf numFmtId="0" fontId="1" fillId="0" borderId="0" xfId="21" applyFont="1" applyFill="1" applyBorder="1" applyAlignment="1">
      <alignment wrapText="1"/>
      <protection/>
    </xf>
    <xf numFmtId="169" fontId="1" fillId="0" borderId="0" xfId="21" applyNumberFormat="1" applyFont="1" applyFill="1" applyBorder="1" applyAlignment="1">
      <alignment horizontal="right" wrapText="1"/>
      <protection/>
    </xf>
    <xf numFmtId="0" fontId="9" fillId="7" borderId="2" xfId="19" applyFont="1" applyFill="1" applyBorder="1" applyAlignment="1">
      <alignment wrapText="1"/>
      <protection/>
    </xf>
    <xf numFmtId="17" fontId="3" fillId="9" borderId="2" xfId="20" applyNumberFormat="1" applyFont="1" applyFill="1" applyBorder="1" applyAlignment="1">
      <alignment horizontal="center"/>
      <protection/>
    </xf>
    <xf numFmtId="3" fontId="4" fillId="8" borderId="5" xfId="0" applyNumberFormat="1" applyFont="1" applyFill="1" applyBorder="1" applyAlignment="1">
      <alignment/>
    </xf>
    <xf numFmtId="0" fontId="3" fillId="8" borderId="2" xfId="19" applyFont="1" applyFill="1" applyBorder="1" applyAlignment="1">
      <alignment wrapText="1"/>
      <protection/>
    </xf>
    <xf numFmtId="3" fontId="4" fillId="8" borderId="6" xfId="0" applyNumberFormat="1" applyFont="1" applyFill="1" applyBorder="1" applyAlignment="1">
      <alignment/>
    </xf>
    <xf numFmtId="168" fontId="4" fillId="8" borderId="3" xfId="0" applyNumberFormat="1" applyFont="1" applyFill="1" applyBorder="1" applyAlignment="1">
      <alignment/>
    </xf>
    <xf numFmtId="0" fontId="3" fillId="8" borderId="7" xfId="19" applyFont="1" applyFill="1" applyBorder="1" applyAlignment="1">
      <alignment wrapText="1"/>
      <protection/>
    </xf>
    <xf numFmtId="168" fontId="4" fillId="8" borderId="2" xfId="0" applyNumberFormat="1" applyFont="1" applyFill="1" applyBorder="1" applyAlignment="1">
      <alignment/>
    </xf>
    <xf numFmtId="0" fontId="9" fillId="5" borderId="2" xfId="19" applyFont="1" applyFill="1" applyBorder="1" applyAlignment="1">
      <alignment wrapText="1"/>
      <protection/>
    </xf>
    <xf numFmtId="17" fontId="3" fillId="10" borderId="2" xfId="20" applyNumberFormat="1" applyFont="1" applyFill="1" applyBorder="1" applyAlignment="1">
      <alignment horizontal="center"/>
      <protection/>
    </xf>
    <xf numFmtId="3" fontId="4" fillId="6" borderId="5" xfId="0" applyNumberFormat="1" applyFont="1" applyFill="1" applyBorder="1" applyAlignment="1">
      <alignment/>
    </xf>
    <xf numFmtId="0" fontId="3" fillId="5" borderId="2" xfId="19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0" fontId="3" fillId="3" borderId="8" xfId="19" applyFont="1" applyFill="1" applyBorder="1" applyAlignment="1">
      <alignment wrapText="1"/>
      <protection/>
    </xf>
    <xf numFmtId="170" fontId="4" fillId="3" borderId="8" xfId="0" applyNumberFormat="1" applyFont="1" applyFill="1" applyBorder="1" applyAlignment="1">
      <alignment/>
    </xf>
    <xf numFmtId="168" fontId="4" fillId="3" borderId="8" xfId="0" applyNumberFormat="1" applyFont="1" applyFill="1" applyBorder="1" applyAlignment="1">
      <alignment/>
    </xf>
    <xf numFmtId="0" fontId="3" fillId="3" borderId="1" xfId="19" applyFont="1" applyFill="1" applyBorder="1" applyAlignment="1">
      <alignment wrapText="1"/>
      <protection/>
    </xf>
    <xf numFmtId="168" fontId="4" fillId="3" borderId="1" xfId="0" applyNumberFormat="1" applyFont="1" applyFill="1" applyBorder="1" applyAlignment="1">
      <alignment/>
    </xf>
    <xf numFmtId="0" fontId="3" fillId="6" borderId="8" xfId="19" applyFont="1" applyFill="1" applyBorder="1" applyAlignment="1">
      <alignment wrapText="1"/>
      <protection/>
    </xf>
    <xf numFmtId="168" fontId="4" fillId="6" borderId="8" xfId="0" applyNumberFormat="1" applyFont="1" applyFill="1" applyBorder="1" applyAlignment="1">
      <alignment/>
    </xf>
    <xf numFmtId="3" fontId="4" fillId="6" borderId="8" xfId="0" applyNumberFormat="1" applyFont="1" applyFill="1" applyBorder="1" applyAlignment="1">
      <alignment/>
    </xf>
    <xf numFmtId="0" fontId="3" fillId="6" borderId="1" xfId="19" applyFont="1" applyFill="1" applyBorder="1" applyAlignment="1">
      <alignment wrapText="1"/>
      <protection/>
    </xf>
    <xf numFmtId="3" fontId="4" fillId="6" borderId="1" xfId="0" applyNumberFormat="1" applyFont="1" applyFill="1" applyBorder="1" applyAlignment="1">
      <alignment/>
    </xf>
    <xf numFmtId="168" fontId="4" fillId="6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3" fillId="11" borderId="2" xfId="23" applyNumberFormat="1" applyFont="1" applyFill="1" applyBorder="1" applyAlignment="1">
      <alignment horizontal="center" wrapText="1"/>
      <protection/>
    </xf>
    <xf numFmtId="0" fontId="1" fillId="12" borderId="9" xfId="21" applyFont="1" applyFill="1" applyBorder="1" applyAlignment="1">
      <alignment horizontal="center" wrapText="1"/>
      <protection/>
    </xf>
    <xf numFmtId="0" fontId="1" fillId="13" borderId="10" xfId="23" applyFont="1" applyFill="1" applyBorder="1" applyAlignment="1">
      <alignment wrapText="1"/>
      <protection/>
    </xf>
    <xf numFmtId="0" fontId="1" fillId="13" borderId="11" xfId="23" applyFont="1" applyFill="1" applyBorder="1" applyAlignment="1">
      <alignment wrapText="1"/>
      <protection/>
    </xf>
    <xf numFmtId="168" fontId="1" fillId="7" borderId="11" xfId="23" applyNumberFormat="1" applyFont="1" applyFill="1" applyBorder="1" applyAlignment="1">
      <alignment horizontal="right" wrapText="1"/>
      <protection/>
    </xf>
    <xf numFmtId="0" fontId="1" fillId="14" borderId="12" xfId="21" applyFont="1" applyFill="1" applyBorder="1" applyAlignment="1">
      <alignment horizontal="center"/>
      <protection/>
    </xf>
    <xf numFmtId="0" fontId="1" fillId="0" borderId="10" xfId="21" applyFont="1" applyFill="1" applyBorder="1" applyAlignment="1">
      <alignment wrapText="1"/>
      <protection/>
    </xf>
    <xf numFmtId="0" fontId="1" fillId="14" borderId="12" xfId="22" applyFont="1" applyFill="1" applyBorder="1" applyAlignment="1">
      <alignment horizontal="center"/>
      <protection/>
    </xf>
    <xf numFmtId="0" fontId="1" fillId="0" borderId="10" xfId="22" applyFont="1" applyFill="1" applyBorder="1" applyAlignment="1">
      <alignment wrapText="1"/>
      <protection/>
    </xf>
    <xf numFmtId="0" fontId="1" fillId="14" borderId="12" xfId="23" applyFont="1" applyFill="1" applyBorder="1" applyAlignment="1">
      <alignment horizontal="center"/>
      <protection/>
    </xf>
    <xf numFmtId="0" fontId="1" fillId="0" borderId="10" xfId="23" applyFont="1" applyFill="1" applyBorder="1" applyAlignment="1">
      <alignment wrapText="1"/>
      <protection/>
    </xf>
    <xf numFmtId="0" fontId="1" fillId="0" borderId="0" xfId="23" applyFont="1" applyFill="1" applyBorder="1" applyAlignment="1">
      <alignment wrapText="1"/>
      <protection/>
    </xf>
    <xf numFmtId="3" fontId="1" fillId="0" borderId="0" xfId="23" applyNumberFormat="1" applyFont="1" applyFill="1" applyBorder="1" applyAlignment="1">
      <alignment horizontal="right" wrapText="1"/>
      <protection/>
    </xf>
    <xf numFmtId="17" fontId="1" fillId="11" borderId="9" xfId="23" applyNumberFormat="1" applyFont="1" applyFill="1" applyBorder="1" applyAlignment="1">
      <alignment horizontal="center"/>
      <protection/>
    </xf>
    <xf numFmtId="0" fontId="1" fillId="2" borderId="13" xfId="19" applyFont="1" applyFill="1" applyBorder="1" applyAlignment="1">
      <alignment wrapText="1"/>
      <protection/>
    </xf>
    <xf numFmtId="170" fontId="0" fillId="3" borderId="8" xfId="0" applyNumberFormat="1" applyFill="1" applyBorder="1" applyAlignment="1">
      <alignment/>
    </xf>
    <xf numFmtId="0" fontId="1" fillId="2" borderId="8" xfId="19" applyFont="1" applyFill="1" applyBorder="1" applyAlignment="1">
      <alignment wrapText="1"/>
      <protection/>
    </xf>
    <xf numFmtId="168" fontId="0" fillId="3" borderId="8" xfId="0" applyNumberFormat="1" applyFill="1" applyBorder="1" applyAlignment="1">
      <alignment/>
    </xf>
    <xf numFmtId="0" fontId="1" fillId="5" borderId="13" xfId="19" applyFont="1" applyFill="1" applyBorder="1" applyAlignment="1">
      <alignment wrapText="1"/>
      <protection/>
    </xf>
    <xf numFmtId="168" fontId="0" fillId="6" borderId="13" xfId="0" applyNumberFormat="1" applyFill="1" applyBorder="1" applyAlignment="1">
      <alignment/>
    </xf>
    <xf numFmtId="0" fontId="1" fillId="0" borderId="11" xfId="21" applyFont="1" applyFill="1" applyBorder="1" applyAlignment="1">
      <alignment wrapText="1"/>
      <protection/>
    </xf>
    <xf numFmtId="170" fontId="1" fillId="0" borderId="11" xfId="21" applyNumberFormat="1" applyFont="1" applyFill="1" applyBorder="1" applyAlignment="1">
      <alignment horizontal="right" wrapText="1"/>
      <protection/>
    </xf>
    <xf numFmtId="0" fontId="1" fillId="11" borderId="2" xfId="21" applyFont="1" applyFill="1" applyBorder="1" applyAlignment="1">
      <alignment horizontal="center" wrapText="1"/>
      <protection/>
    </xf>
    <xf numFmtId="0" fontId="1" fillId="0" borderId="10" xfId="21" applyFont="1" applyFill="1" applyBorder="1" applyAlignment="1">
      <alignment horizontal="right" wrapText="1"/>
      <protection/>
    </xf>
    <xf numFmtId="169" fontId="1" fillId="0" borderId="10" xfId="21" applyNumberFormat="1" applyFont="1" applyFill="1" applyBorder="1" applyAlignment="1">
      <alignment horizontal="right" wrapText="1"/>
      <protection/>
    </xf>
    <xf numFmtId="170" fontId="1" fillId="0" borderId="0" xfId="21" applyNumberFormat="1" applyFont="1" applyFill="1" applyBorder="1" applyAlignment="1">
      <alignment horizontal="right" wrapText="1"/>
      <protection/>
    </xf>
    <xf numFmtId="0" fontId="1" fillId="15" borderId="3" xfId="20" applyFont="1" applyFill="1" applyBorder="1" applyAlignment="1">
      <alignment wrapText="1"/>
      <protection/>
    </xf>
    <xf numFmtId="3" fontId="0" fillId="16" borderId="1" xfId="0" applyNumberFormat="1" applyFill="1" applyBorder="1" applyAlignment="1">
      <alignment/>
    </xf>
    <xf numFmtId="0" fontId="1" fillId="15" borderId="1" xfId="20" applyFont="1" applyFill="1" applyBorder="1" applyAlignment="1">
      <alignment wrapText="1"/>
      <protection/>
    </xf>
    <xf numFmtId="170" fontId="0" fillId="16" borderId="1" xfId="0" applyNumberFormat="1" applyFill="1" applyBorder="1" applyAlignment="1">
      <alignment/>
    </xf>
    <xf numFmtId="0" fontId="1" fillId="0" borderId="10" xfId="22" applyFont="1" applyFill="1" applyBorder="1" applyAlignment="1">
      <alignment horizontal="right" wrapText="1"/>
      <protection/>
    </xf>
    <xf numFmtId="3" fontId="1" fillId="0" borderId="11" xfId="21" applyNumberFormat="1" applyFont="1" applyFill="1" applyBorder="1" applyAlignment="1">
      <alignment horizontal="right" wrapText="1"/>
      <protection/>
    </xf>
    <xf numFmtId="17" fontId="1" fillId="11" borderId="2" xfId="21" applyNumberFormat="1" applyFont="1" applyFill="1" applyBorder="1" applyAlignment="1">
      <alignment horizontal="center"/>
      <protection/>
    </xf>
    <xf numFmtId="0" fontId="1" fillId="0" borderId="10" xfId="23" applyFont="1" applyFill="1" applyBorder="1" applyAlignment="1">
      <alignment horizontal="right" wrapText="1"/>
      <protection/>
    </xf>
    <xf numFmtId="10" fontId="4" fillId="6" borderId="4" xfId="0" applyNumberFormat="1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Normal_Feuil2" xfId="20"/>
    <cellStyle name="Normal_Req1" xfId="21"/>
    <cellStyle name="Normal_Req2" xfId="22"/>
    <cellStyle name="Normal_Req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Montant cumulé annuel - Total panier 11 hypolipémiants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- 162 médecins visités au 16/01/2007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Req1!$B$108</c:f>
              <c:strCache>
                <c:ptCount val="1"/>
                <c:pt idx="0">
                  <c:v>Total panier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Req1!$C$108:$V$108</c:f>
              <c:numCache>
                <c:ptCount val="20"/>
                <c:pt idx="0">
                  <c:v>2266481.4370000004</c:v>
                </c:pt>
                <c:pt idx="1">
                  <c:v>2282503.4349999996</c:v>
                </c:pt>
                <c:pt idx="2">
                  <c:v>2318315.601</c:v>
                </c:pt>
                <c:pt idx="3">
                  <c:v>2342614.1275000004</c:v>
                </c:pt>
                <c:pt idx="4">
                  <c:v>2367986.7645000005</c:v>
                </c:pt>
                <c:pt idx="5">
                  <c:v>2390506.4675000003</c:v>
                </c:pt>
                <c:pt idx="6">
                  <c:v>2416465.5570000005</c:v>
                </c:pt>
                <c:pt idx="7">
                  <c:v>2439265.3445</c:v>
                </c:pt>
                <c:pt idx="8">
                  <c:v>2474786.1645000004</c:v>
                </c:pt>
                <c:pt idx="9">
                  <c:v>2475778.6185</c:v>
                </c:pt>
                <c:pt idx="10">
                  <c:v>2480318.7165</c:v>
                </c:pt>
                <c:pt idx="11">
                  <c:v>2498975.7425</c:v>
                </c:pt>
                <c:pt idx="12">
                  <c:v>2524217.6450000005</c:v>
                </c:pt>
                <c:pt idx="13">
                  <c:v>2539398.1647999994</c:v>
                </c:pt>
                <c:pt idx="14">
                  <c:v>2555778.3733</c:v>
                </c:pt>
                <c:pt idx="15">
                  <c:v>2554262.7579</c:v>
                </c:pt>
                <c:pt idx="16">
                  <c:v>2574785.8468000004</c:v>
                </c:pt>
                <c:pt idx="17">
                  <c:v>2578071.5772999995</c:v>
                </c:pt>
                <c:pt idx="18">
                  <c:v>2556401.0212</c:v>
                </c:pt>
                <c:pt idx="19">
                  <c:v>2573757.652599999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Req1!$B$109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Req1!$C$109:$V$109</c:f>
              <c:numCache>
                <c:ptCount val="20"/>
                <c:pt idx="0">
                  <c:v>1113633.347</c:v>
                </c:pt>
                <c:pt idx="1">
                  <c:v>1107406.855</c:v>
                </c:pt>
                <c:pt idx="2">
                  <c:v>1112176.6145</c:v>
                </c:pt>
                <c:pt idx="3">
                  <c:v>1111343.4530000002</c:v>
                </c:pt>
                <c:pt idx="4">
                  <c:v>1110004.7264999999</c:v>
                </c:pt>
                <c:pt idx="5">
                  <c:v>1105383.5385</c:v>
                </c:pt>
                <c:pt idx="6">
                  <c:v>1103581.855</c:v>
                </c:pt>
                <c:pt idx="7">
                  <c:v>1100610.0380000002</c:v>
                </c:pt>
                <c:pt idx="8">
                  <c:v>1102238.3555</c:v>
                </c:pt>
                <c:pt idx="9">
                  <c:v>1086206.1425</c:v>
                </c:pt>
                <c:pt idx="10">
                  <c:v>1072963.8905</c:v>
                </c:pt>
                <c:pt idx="11">
                  <c:v>1064295.838</c:v>
                </c:pt>
                <c:pt idx="12">
                  <c:v>1058601.1730000002</c:v>
                </c:pt>
                <c:pt idx="13">
                  <c:v>1050599.6109999998</c:v>
                </c:pt>
                <c:pt idx="14">
                  <c:v>1040211.844</c:v>
                </c:pt>
                <c:pt idx="15">
                  <c:v>1018927.7905</c:v>
                </c:pt>
                <c:pt idx="16">
                  <c:v>1008751.8300000001</c:v>
                </c:pt>
                <c:pt idx="17">
                  <c:v>992430.4118</c:v>
                </c:pt>
                <c:pt idx="18">
                  <c:v>966141.3276000001</c:v>
                </c:pt>
                <c:pt idx="19">
                  <c:v>956930.1124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Req1!$B$110</c:f>
              <c:strCache>
                <c:ptCount val="1"/>
                <c:pt idx="0">
                  <c:v>Statines "stricto sensu"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Req1!$C$110:$V$110</c:f>
              <c:numCache>
                <c:ptCount val="20"/>
                <c:pt idx="0">
                  <c:v>2035428.8135000002</c:v>
                </c:pt>
                <c:pt idx="1">
                  <c:v>2040510.4285</c:v>
                </c:pt>
                <c:pt idx="2">
                  <c:v>2064708.3685</c:v>
                </c:pt>
                <c:pt idx="3">
                  <c:v>2077938.9630000002</c:v>
                </c:pt>
                <c:pt idx="4">
                  <c:v>2092017.9645000002</c:v>
                </c:pt>
                <c:pt idx="5">
                  <c:v>2102519.4850000003</c:v>
                </c:pt>
                <c:pt idx="6">
                  <c:v>2115578.3085000003</c:v>
                </c:pt>
                <c:pt idx="7">
                  <c:v>2124958.887</c:v>
                </c:pt>
                <c:pt idx="8">
                  <c:v>2146456.485</c:v>
                </c:pt>
                <c:pt idx="9">
                  <c:v>2137068.5415</c:v>
                </c:pt>
                <c:pt idx="10">
                  <c:v>2132219.306</c:v>
                </c:pt>
                <c:pt idx="11">
                  <c:v>2139339.1130000004</c:v>
                </c:pt>
                <c:pt idx="12">
                  <c:v>2153855.29</c:v>
                </c:pt>
                <c:pt idx="13">
                  <c:v>2160924.7073</c:v>
                </c:pt>
                <c:pt idx="14">
                  <c:v>2167376.3643</c:v>
                </c:pt>
                <c:pt idx="15">
                  <c:v>2158289.1809</c:v>
                </c:pt>
                <c:pt idx="16">
                  <c:v>2164914.1385</c:v>
                </c:pt>
                <c:pt idx="17">
                  <c:v>2157019.1202</c:v>
                </c:pt>
                <c:pt idx="18">
                  <c:v>2126832.8663</c:v>
                </c:pt>
                <c:pt idx="19">
                  <c:v>2129734.5382</c:v>
                </c:pt>
              </c:numCache>
            </c:numRef>
          </c:val>
          <c:smooth val="0"/>
        </c:ser>
        <c:marker val="1"/>
        <c:axId val="19291124"/>
        <c:axId val="39402389"/>
      </c:lineChart>
      <c:dateAx>
        <c:axId val="19291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02389"/>
        <c:crosses val="autoZero"/>
        <c:auto val="0"/>
        <c:noMultiLvlLbl val="0"/>
      </c:dateAx>
      <c:valAx>
        <c:axId val="394023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Montant annuel total remboursé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92911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Nombre de boites mensuelles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- 162 médecins visités au 16/01/2007</a:t>
            </a:r>
          </a:p>
        </c:rich>
      </c:tx>
      <c:layout>
        <c:manualLayout>
          <c:xMode val="factor"/>
          <c:yMode val="factor"/>
          <c:x val="-0.066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025"/>
          <c:w val="0.767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Req3!$B$133</c:f>
              <c:strCache>
                <c:ptCount val="1"/>
                <c:pt idx="0">
                  <c:v>Simvastatine 10mg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Req3!$C$133:$AG$133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9.30925339787749E-05</c:v>
                </c:pt>
                <c:pt idx="18">
                  <c:v>0.0007817080320500293</c:v>
                </c:pt>
                <c:pt idx="19">
                  <c:v>0.0013949780789159027</c:v>
                </c:pt>
                <c:pt idx="20">
                  <c:v>0.0014252627828255835</c:v>
                </c:pt>
                <c:pt idx="21">
                  <c:v>0.002107587314331594</c:v>
                </c:pt>
                <c:pt idx="22">
                  <c:v>0.0019438063262060435</c:v>
                </c:pt>
                <c:pt idx="23">
                  <c:v>0.0023208069267160584</c:v>
                </c:pt>
                <c:pt idx="24">
                  <c:v>0.002007456266131345</c:v>
                </c:pt>
                <c:pt idx="25">
                  <c:v>0.0024456521739130437</c:v>
                </c:pt>
                <c:pt idx="26">
                  <c:v>0.0034026832587983665</c:v>
                </c:pt>
                <c:pt idx="27">
                  <c:v>0.00400941340538656</c:v>
                </c:pt>
                <c:pt idx="28">
                  <c:v>0.0036268020672771783</c:v>
                </c:pt>
                <c:pt idx="29">
                  <c:v>0.0032802701398938735</c:v>
                </c:pt>
                <c:pt idx="30">
                  <c:v>0.0031865828092243185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Req3!$B$134</c:f>
              <c:strCache>
                <c:ptCount val="1"/>
                <c:pt idx="0">
                  <c:v>Simvastatine 20mg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Req3!$C$134:$AG$134</c:f>
              <c:numCache>
                <c:ptCount val="31"/>
                <c:pt idx="0">
                  <c:v>0.15157757779464381</c:v>
                </c:pt>
                <c:pt idx="1">
                  <c:v>0.15390012863992517</c:v>
                </c:pt>
                <c:pt idx="2">
                  <c:v>0.15009339633007363</c:v>
                </c:pt>
                <c:pt idx="3">
                  <c:v>0.14773980154355015</c:v>
                </c:pt>
                <c:pt idx="4">
                  <c:v>0.14580280510780824</c:v>
                </c:pt>
                <c:pt idx="5">
                  <c:v>0.14509965919653</c:v>
                </c:pt>
                <c:pt idx="6">
                  <c:v>0.14680372630902666</c:v>
                </c:pt>
                <c:pt idx="7">
                  <c:v>0.13949082297217288</c:v>
                </c:pt>
                <c:pt idx="8">
                  <c:v>0.14049880181059732</c:v>
                </c:pt>
                <c:pt idx="9">
                  <c:v>0.13686894441611422</c:v>
                </c:pt>
                <c:pt idx="10">
                  <c:v>0.13826028836054616</c:v>
                </c:pt>
                <c:pt idx="11">
                  <c:v>0.14202006157513158</c:v>
                </c:pt>
                <c:pt idx="12">
                  <c:v>0.13601707837755414</c:v>
                </c:pt>
                <c:pt idx="13">
                  <c:v>0.14257601102036802</c:v>
                </c:pt>
                <c:pt idx="14">
                  <c:v>0.1407699901283317</c:v>
                </c:pt>
                <c:pt idx="15">
                  <c:v>0.13872491145218419</c:v>
                </c:pt>
                <c:pt idx="16">
                  <c:v>0.1427345537757437</c:v>
                </c:pt>
                <c:pt idx="17">
                  <c:v>0.14001117110407746</c:v>
                </c:pt>
                <c:pt idx="18">
                  <c:v>0.1372874731287864</c:v>
                </c:pt>
                <c:pt idx="19">
                  <c:v>0.13531287365484257</c:v>
                </c:pt>
                <c:pt idx="20">
                  <c:v>0.13174772848743987</c:v>
                </c:pt>
                <c:pt idx="21">
                  <c:v>0.12916499397832196</c:v>
                </c:pt>
                <c:pt idx="22">
                  <c:v>0.12617070153737409</c:v>
                </c:pt>
                <c:pt idx="23">
                  <c:v>0.12969740248147818</c:v>
                </c:pt>
                <c:pt idx="24">
                  <c:v>0.12857279418793616</c:v>
                </c:pt>
                <c:pt idx="25">
                  <c:v>0.12309782608695652</c:v>
                </c:pt>
                <c:pt idx="26">
                  <c:v>0.12677425627065914</c:v>
                </c:pt>
                <c:pt idx="27">
                  <c:v>0.1288241959382899</c:v>
                </c:pt>
                <c:pt idx="28">
                  <c:v>0.12875147338833984</c:v>
                </c:pt>
                <c:pt idx="29">
                  <c:v>0.12677279305354558</c:v>
                </c:pt>
                <c:pt idx="30">
                  <c:v>0.12939203354297693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Req3!$B$135</c:f>
              <c:strCache>
                <c:ptCount val="1"/>
                <c:pt idx="0">
                  <c:v>Simvastatine 40mg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Req3!$C$135:$AG$135</c:f>
              <c:numCache>
                <c:ptCount val="31"/>
                <c:pt idx="0">
                  <c:v>0.02602190176732083</c:v>
                </c:pt>
                <c:pt idx="1">
                  <c:v>0.025961875803999532</c:v>
                </c:pt>
                <c:pt idx="2">
                  <c:v>0.02735963080980112</c:v>
                </c:pt>
                <c:pt idx="3">
                  <c:v>0.026460859977949284</c:v>
                </c:pt>
                <c:pt idx="4">
                  <c:v>0.026167050450073268</c:v>
                </c:pt>
                <c:pt idx="5">
                  <c:v>0.02705773004234225</c:v>
                </c:pt>
                <c:pt idx="6">
                  <c:v>0.0273048506264054</c:v>
                </c:pt>
                <c:pt idx="7">
                  <c:v>0.028300769686204853</c:v>
                </c:pt>
                <c:pt idx="8">
                  <c:v>0.02866779089376054</c:v>
                </c:pt>
                <c:pt idx="9">
                  <c:v>0.02784293727689954</c:v>
                </c:pt>
                <c:pt idx="10">
                  <c:v>0.026162513128998376</c:v>
                </c:pt>
                <c:pt idx="11">
                  <c:v>0.027410865031284138</c:v>
                </c:pt>
                <c:pt idx="12">
                  <c:v>0.02775236352546508</c:v>
                </c:pt>
                <c:pt idx="13">
                  <c:v>0.027944504575420644</c:v>
                </c:pt>
                <c:pt idx="14">
                  <c:v>0.026752221125370186</c:v>
                </c:pt>
                <c:pt idx="15">
                  <c:v>0.02784336875245966</c:v>
                </c:pt>
                <c:pt idx="16">
                  <c:v>0.02555301296720061</c:v>
                </c:pt>
                <c:pt idx="17">
                  <c:v>0.02643827964997207</c:v>
                </c:pt>
                <c:pt idx="18">
                  <c:v>0.027359781121751026</c:v>
                </c:pt>
                <c:pt idx="19">
                  <c:v>0.02630530091669988</c:v>
                </c:pt>
                <c:pt idx="20">
                  <c:v>0.028772492428291465</c:v>
                </c:pt>
                <c:pt idx="21">
                  <c:v>0.024989963869931756</c:v>
                </c:pt>
                <c:pt idx="22">
                  <c:v>0.027036578900865877</c:v>
                </c:pt>
                <c:pt idx="23">
                  <c:v>0.02633223243773989</c:v>
                </c:pt>
                <c:pt idx="24">
                  <c:v>0.02647930408182774</c:v>
                </c:pt>
                <c:pt idx="25">
                  <c:v>0.025543478260869567</c:v>
                </c:pt>
                <c:pt idx="26">
                  <c:v>0.025471514680147772</c:v>
                </c:pt>
                <c:pt idx="27">
                  <c:v>0.026496992939945962</c:v>
                </c:pt>
                <c:pt idx="28">
                  <c:v>0.026112974884395686</c:v>
                </c:pt>
                <c:pt idx="29">
                  <c:v>0.02653159671972986</c:v>
                </c:pt>
                <c:pt idx="30">
                  <c:v>0.02532494758909853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Req3!$B$136</c:f>
              <c:strCache>
                <c:ptCount val="1"/>
                <c:pt idx="0">
                  <c:v>Pravastatine 10mg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Req3!$C$136:$AG$136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9.721952167995334E-05</c:v>
                </c:pt>
                <c:pt idx="27">
                  <c:v>0.0005229669659199861</c:v>
                </c:pt>
                <c:pt idx="28">
                  <c:v>0.0008160304651373652</c:v>
                </c:pt>
                <c:pt idx="29">
                  <c:v>0.0012542209358417753</c:v>
                </c:pt>
                <c:pt idx="30">
                  <c:v>0.0018448637316561844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Req3!$B$137</c:f>
              <c:strCache>
                <c:ptCount val="1"/>
                <c:pt idx="0">
                  <c:v>Pravastatine 20mg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Req3!$C$137:$AG$137</c:f>
              <c:numCache>
                <c:ptCount val="31"/>
                <c:pt idx="0">
                  <c:v>0.2104521305432072</c:v>
                </c:pt>
                <c:pt idx="1">
                  <c:v>0.2047713717693837</c:v>
                </c:pt>
                <c:pt idx="2">
                  <c:v>0.21052631578947367</c:v>
                </c:pt>
                <c:pt idx="3">
                  <c:v>0.20672546857772878</c:v>
                </c:pt>
                <c:pt idx="4">
                  <c:v>0.2068243667573791</c:v>
                </c:pt>
                <c:pt idx="5">
                  <c:v>0.2016936899721161</c:v>
                </c:pt>
                <c:pt idx="6">
                  <c:v>0.1978798586572438</c:v>
                </c:pt>
                <c:pt idx="7">
                  <c:v>0.19277679100059206</c:v>
                </c:pt>
                <c:pt idx="8">
                  <c:v>0.1899352090174847</c:v>
                </c:pt>
                <c:pt idx="9">
                  <c:v>0.18755736868944417</c:v>
                </c:pt>
                <c:pt idx="10">
                  <c:v>0.1857156497660651</c:v>
                </c:pt>
                <c:pt idx="11">
                  <c:v>0.18681100407190387</c:v>
                </c:pt>
                <c:pt idx="12">
                  <c:v>0.18623564094744333</c:v>
                </c:pt>
                <c:pt idx="13">
                  <c:v>0.1778018301682574</c:v>
                </c:pt>
                <c:pt idx="14">
                  <c:v>0.18716683119447186</c:v>
                </c:pt>
                <c:pt idx="15">
                  <c:v>0.1806375442739079</c:v>
                </c:pt>
                <c:pt idx="16">
                  <c:v>0.17667810831426392</c:v>
                </c:pt>
                <c:pt idx="17">
                  <c:v>0.17789983243343885</c:v>
                </c:pt>
                <c:pt idx="18">
                  <c:v>0.1750048856752003</c:v>
                </c:pt>
                <c:pt idx="19">
                  <c:v>0.17098445595854922</c:v>
                </c:pt>
                <c:pt idx="20">
                  <c:v>0.16791377160163906</c:v>
                </c:pt>
                <c:pt idx="21">
                  <c:v>0.16358892011240467</c:v>
                </c:pt>
                <c:pt idx="22">
                  <c:v>0.16345644106732637</c:v>
                </c:pt>
                <c:pt idx="23">
                  <c:v>0.15486923145586004</c:v>
                </c:pt>
                <c:pt idx="24">
                  <c:v>0.15371379409234298</c:v>
                </c:pt>
                <c:pt idx="25">
                  <c:v>0.15760869565217392</c:v>
                </c:pt>
                <c:pt idx="26">
                  <c:v>0.14952362434376823</c:v>
                </c:pt>
                <c:pt idx="27">
                  <c:v>0.15514686655626253</c:v>
                </c:pt>
                <c:pt idx="28">
                  <c:v>0.15123764620545835</c:v>
                </c:pt>
                <c:pt idx="29">
                  <c:v>0.14819102749638205</c:v>
                </c:pt>
                <c:pt idx="30">
                  <c:v>0.150188679245283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Req3!$B$138</c:f>
              <c:strCache>
                <c:ptCount val="1"/>
                <c:pt idx="0">
                  <c:v>Pravastatine 40mg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Req3!$C$138:$AG$138</c:f>
              <c:numCache>
                <c:ptCount val="31"/>
                <c:pt idx="0">
                  <c:v>0.07589721348801909</c:v>
                </c:pt>
                <c:pt idx="1">
                  <c:v>0.07274003040580049</c:v>
                </c:pt>
                <c:pt idx="2">
                  <c:v>0.07625535655422482</c:v>
                </c:pt>
                <c:pt idx="3">
                  <c:v>0.07684674751929438</c:v>
                </c:pt>
                <c:pt idx="4">
                  <c:v>0.0755704416998116</c:v>
                </c:pt>
                <c:pt idx="5">
                  <c:v>0.07580295363007332</c:v>
                </c:pt>
                <c:pt idx="6">
                  <c:v>0.07174215654781026</c:v>
                </c:pt>
                <c:pt idx="7">
                  <c:v>0.07566607460035524</c:v>
                </c:pt>
                <c:pt idx="8">
                  <c:v>0.07668412177154522</c:v>
                </c:pt>
                <c:pt idx="9">
                  <c:v>0.07261601223865374</c:v>
                </c:pt>
                <c:pt idx="10">
                  <c:v>0.07619593239759381</c:v>
                </c:pt>
                <c:pt idx="11">
                  <c:v>0.0754791935644056</c:v>
                </c:pt>
                <c:pt idx="12">
                  <c:v>0.07095659245704991</c:v>
                </c:pt>
                <c:pt idx="13">
                  <c:v>0.07369871101052838</c:v>
                </c:pt>
                <c:pt idx="14">
                  <c:v>0.07492596248766041</c:v>
                </c:pt>
                <c:pt idx="15">
                  <c:v>0.07319952774498228</c:v>
                </c:pt>
                <c:pt idx="16">
                  <c:v>0.06855453852021358</c:v>
                </c:pt>
                <c:pt idx="17">
                  <c:v>0.07335691677527462</c:v>
                </c:pt>
                <c:pt idx="18">
                  <c:v>0.0719171389486027</c:v>
                </c:pt>
                <c:pt idx="19">
                  <c:v>0.06785571941012356</c:v>
                </c:pt>
                <c:pt idx="20">
                  <c:v>0.07170853376091217</c:v>
                </c:pt>
                <c:pt idx="21">
                  <c:v>0.06764351665997591</c:v>
                </c:pt>
                <c:pt idx="22">
                  <c:v>0.0662661247570242</c:v>
                </c:pt>
                <c:pt idx="23">
                  <c:v>0.06694635365527091</c:v>
                </c:pt>
                <c:pt idx="24">
                  <c:v>0.06452537998279323</c:v>
                </c:pt>
                <c:pt idx="25">
                  <c:v>0.0651268115942029</c:v>
                </c:pt>
                <c:pt idx="26">
                  <c:v>0.06066498152829088</c:v>
                </c:pt>
                <c:pt idx="27">
                  <c:v>0.06075132920770505</c:v>
                </c:pt>
                <c:pt idx="28">
                  <c:v>0.061383624988666244</c:v>
                </c:pt>
                <c:pt idx="29">
                  <c:v>0.05904486251808973</c:v>
                </c:pt>
                <c:pt idx="30">
                  <c:v>0.06222222222222222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Req3!$B$139</c:f>
              <c:strCache>
                <c:ptCount val="1"/>
                <c:pt idx="0">
                  <c:v>PRAVADUAL 40/81mg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Req3!$C$139:$AG$139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0.000803356243863251</c:v>
                </c:pt>
                <c:pt idx="24">
                  <c:v>0.002294235732721537</c:v>
                </c:pt>
                <c:pt idx="25">
                  <c:v>0.0028079710144927536</c:v>
                </c:pt>
                <c:pt idx="26">
                  <c:v>0.003986000388878087</c:v>
                </c:pt>
                <c:pt idx="27">
                  <c:v>0.006275603591039833</c:v>
                </c:pt>
                <c:pt idx="28">
                  <c:v>0.007888294496327863</c:v>
                </c:pt>
                <c:pt idx="29">
                  <c:v>0.008683068017366137</c:v>
                </c:pt>
                <c:pt idx="30">
                  <c:v>0.009979035639412997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Req3!$B$140</c:f>
              <c:strCache>
                <c:ptCount val="1"/>
                <c:pt idx="0">
                  <c:v>Fluvastatine 20mg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Req3!$C$140:$AG$140</c:f>
              <c:numCache>
                <c:ptCount val="31"/>
                <c:pt idx="0">
                  <c:v>0.011276157432505693</c:v>
                </c:pt>
                <c:pt idx="1">
                  <c:v>0.01075897555841422</c:v>
                </c:pt>
                <c:pt idx="2">
                  <c:v>0.010438413361169102</c:v>
                </c:pt>
                <c:pt idx="3">
                  <c:v>0.011576626240352812</c:v>
                </c:pt>
                <c:pt idx="4">
                  <c:v>0.010048147372828135</c:v>
                </c:pt>
                <c:pt idx="5">
                  <c:v>0.012496127233295466</c:v>
                </c:pt>
                <c:pt idx="6">
                  <c:v>0.011992718706499626</c:v>
                </c:pt>
                <c:pt idx="7">
                  <c:v>0.01290704558910598</c:v>
                </c:pt>
                <c:pt idx="8">
                  <c:v>0.01109434632111476</c:v>
                </c:pt>
                <c:pt idx="9">
                  <c:v>0.009994900560938297</c:v>
                </c:pt>
                <c:pt idx="10">
                  <c:v>0.011458034947006588</c:v>
                </c:pt>
                <c:pt idx="11">
                  <c:v>0.01042804647929288</c:v>
                </c:pt>
                <c:pt idx="12">
                  <c:v>0.011487242045339026</c:v>
                </c:pt>
                <c:pt idx="13">
                  <c:v>0.011709141001672734</c:v>
                </c:pt>
                <c:pt idx="14">
                  <c:v>0.012043435340572556</c:v>
                </c:pt>
                <c:pt idx="15">
                  <c:v>0.012101534828807556</c:v>
                </c:pt>
                <c:pt idx="16">
                  <c:v>0.012109077040427154</c:v>
                </c:pt>
                <c:pt idx="17">
                  <c:v>0.012195121951219513</c:v>
                </c:pt>
                <c:pt idx="18">
                  <c:v>0.012409615008794216</c:v>
                </c:pt>
                <c:pt idx="19">
                  <c:v>0.012953367875647668</c:v>
                </c:pt>
                <c:pt idx="20">
                  <c:v>0.011847496882237662</c:v>
                </c:pt>
                <c:pt idx="21">
                  <c:v>0.012143717382577279</c:v>
                </c:pt>
                <c:pt idx="22">
                  <c:v>0.011839547623254992</c:v>
                </c:pt>
                <c:pt idx="23">
                  <c:v>0.010889940194590735</c:v>
                </c:pt>
                <c:pt idx="24">
                  <c:v>0.011375585508077622</c:v>
                </c:pt>
                <c:pt idx="25">
                  <c:v>0.011503623188405797</c:v>
                </c:pt>
                <c:pt idx="26">
                  <c:v>0.010596927863114914</c:v>
                </c:pt>
                <c:pt idx="27">
                  <c:v>0.010807983962346378</c:v>
                </c:pt>
                <c:pt idx="28">
                  <c:v>0.010427055943421889</c:v>
                </c:pt>
                <c:pt idx="29">
                  <c:v>0.011191509889049687</c:v>
                </c:pt>
                <c:pt idx="30">
                  <c:v>0.010482180293501049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Req3!$B$141</c:f>
              <c:strCache>
                <c:ptCount val="1"/>
                <c:pt idx="0">
                  <c:v>Fluvastatine 40mg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Req3!$C$141:$AG$141</c:f>
              <c:numCache>
                <c:ptCount val="31"/>
                <c:pt idx="0">
                  <c:v>0.02027539846037081</c:v>
                </c:pt>
                <c:pt idx="1">
                  <c:v>0.021401005730323937</c:v>
                </c:pt>
                <c:pt idx="2">
                  <c:v>0.020107680474673113</c:v>
                </c:pt>
                <c:pt idx="3">
                  <c:v>0.020727673649393607</c:v>
                </c:pt>
                <c:pt idx="4">
                  <c:v>0.0211429767636592</c:v>
                </c:pt>
                <c:pt idx="5">
                  <c:v>0.020964577093875864</c:v>
                </c:pt>
                <c:pt idx="6">
                  <c:v>0.020880179890780597</c:v>
                </c:pt>
                <c:pt idx="7">
                  <c:v>0.022143280047365304</c:v>
                </c:pt>
                <c:pt idx="8">
                  <c:v>0.019526049525161977</c:v>
                </c:pt>
                <c:pt idx="9">
                  <c:v>0.022437531871494134</c:v>
                </c:pt>
                <c:pt idx="10">
                  <c:v>0.021006397402845413</c:v>
                </c:pt>
                <c:pt idx="11">
                  <c:v>0.02075677823021154</c:v>
                </c:pt>
                <c:pt idx="12">
                  <c:v>0.02073802988716072</c:v>
                </c:pt>
                <c:pt idx="13">
                  <c:v>0.02145035914592148</c:v>
                </c:pt>
                <c:pt idx="14">
                  <c:v>0.017769002961500493</c:v>
                </c:pt>
                <c:pt idx="15">
                  <c:v>0.020070838252656435</c:v>
                </c:pt>
                <c:pt idx="16">
                  <c:v>0.02011823035850496</c:v>
                </c:pt>
                <c:pt idx="17">
                  <c:v>0.01992180227145783</c:v>
                </c:pt>
                <c:pt idx="18">
                  <c:v>0.019054133281219465</c:v>
                </c:pt>
                <c:pt idx="19">
                  <c:v>0.020625747309685135</c:v>
                </c:pt>
                <c:pt idx="20">
                  <c:v>0.01897381079636558</c:v>
                </c:pt>
                <c:pt idx="21">
                  <c:v>0.018065034122842234</c:v>
                </c:pt>
                <c:pt idx="22">
                  <c:v>0.01811274076691995</c:v>
                </c:pt>
                <c:pt idx="23">
                  <c:v>0.017406051950370437</c:v>
                </c:pt>
                <c:pt idx="24">
                  <c:v>0.018162699550712168</c:v>
                </c:pt>
                <c:pt idx="25">
                  <c:v>0.01847826086956522</c:v>
                </c:pt>
                <c:pt idx="26">
                  <c:v>0.017110635815671786</c:v>
                </c:pt>
                <c:pt idx="27">
                  <c:v>0.01865248845114617</c:v>
                </c:pt>
                <c:pt idx="28">
                  <c:v>0.017499319974612387</c:v>
                </c:pt>
                <c:pt idx="29">
                  <c:v>0.01678726483357453</c:v>
                </c:pt>
                <c:pt idx="30">
                  <c:v>0.016268343815513626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Req3!$B$142</c:f>
              <c:strCache>
                <c:ptCount val="1"/>
                <c:pt idx="0">
                  <c:v>Fluvastatine 80mg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Req3!$C$142:$AG$142</c:f>
              <c:numCache>
                <c:ptCount val="31"/>
                <c:pt idx="0">
                  <c:v>0.028515667353355742</c:v>
                </c:pt>
                <c:pt idx="1">
                  <c:v>0.03192609051572915</c:v>
                </c:pt>
                <c:pt idx="2">
                  <c:v>0.029337435446654212</c:v>
                </c:pt>
                <c:pt idx="3">
                  <c:v>0.030981256890848952</c:v>
                </c:pt>
                <c:pt idx="4">
                  <c:v>0.03181913334728909</c:v>
                </c:pt>
                <c:pt idx="5">
                  <c:v>0.033150882990808636</c:v>
                </c:pt>
                <c:pt idx="6">
                  <c:v>0.0335153656708427</c:v>
                </c:pt>
                <c:pt idx="7">
                  <c:v>0.03197158081705151</c:v>
                </c:pt>
                <c:pt idx="8">
                  <c:v>0.03425934143960238</c:v>
                </c:pt>
                <c:pt idx="9">
                  <c:v>0.03457419683834778</c:v>
                </c:pt>
                <c:pt idx="10">
                  <c:v>0.03351475221999427</c:v>
                </c:pt>
                <c:pt idx="11">
                  <c:v>0.03356837819048565</c:v>
                </c:pt>
                <c:pt idx="12">
                  <c:v>0.03324184202500762</c:v>
                </c:pt>
                <c:pt idx="13">
                  <c:v>0.03178195414739742</c:v>
                </c:pt>
                <c:pt idx="14">
                  <c:v>0.03188548864758144</c:v>
                </c:pt>
                <c:pt idx="15">
                  <c:v>0.0333530106257379</c:v>
                </c:pt>
                <c:pt idx="16">
                  <c:v>0.033562166285278416</c:v>
                </c:pt>
                <c:pt idx="17">
                  <c:v>0.035002792776019365</c:v>
                </c:pt>
                <c:pt idx="18">
                  <c:v>0.03312487785811999</c:v>
                </c:pt>
                <c:pt idx="19">
                  <c:v>0.0360701474691112</c:v>
                </c:pt>
                <c:pt idx="20">
                  <c:v>0.03376091216818101</c:v>
                </c:pt>
                <c:pt idx="21">
                  <c:v>0.033520674427940586</c:v>
                </c:pt>
                <c:pt idx="22">
                  <c:v>0.0333981268775402</c:v>
                </c:pt>
                <c:pt idx="23">
                  <c:v>0.03311612960814068</c:v>
                </c:pt>
                <c:pt idx="24">
                  <c:v>0.03221489341363158</c:v>
                </c:pt>
                <c:pt idx="25">
                  <c:v>0.0322463768115942</c:v>
                </c:pt>
                <c:pt idx="26">
                  <c:v>0.03217966167606456</c:v>
                </c:pt>
                <c:pt idx="27">
                  <c:v>0.0312908567942125</c:v>
                </c:pt>
                <c:pt idx="28">
                  <c:v>0.028923746486535496</c:v>
                </c:pt>
                <c:pt idx="29">
                  <c:v>0.03125904486251809</c:v>
                </c:pt>
                <c:pt idx="30">
                  <c:v>0.028176100628930816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Req3!$B$143</c:f>
              <c:strCache>
                <c:ptCount val="1"/>
                <c:pt idx="0">
                  <c:v>TAHOR 10mg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Req3!$C$143:$AG$143</c:f>
              <c:numCache>
                <c:ptCount val="31"/>
                <c:pt idx="0">
                  <c:v>0.1451805269435108</c:v>
                </c:pt>
                <c:pt idx="1">
                  <c:v>0.1472342416091685</c:v>
                </c:pt>
                <c:pt idx="2">
                  <c:v>0.14075376332271178</c:v>
                </c:pt>
                <c:pt idx="3">
                  <c:v>0.14288864388092612</c:v>
                </c:pt>
                <c:pt idx="4">
                  <c:v>0.14423278208080384</c:v>
                </c:pt>
                <c:pt idx="5">
                  <c:v>0.14871424145409481</c:v>
                </c:pt>
                <c:pt idx="6">
                  <c:v>0.14337723525002677</c:v>
                </c:pt>
                <c:pt idx="7">
                  <c:v>0.15038484310242747</c:v>
                </c:pt>
                <c:pt idx="8">
                  <c:v>0.14706665483269726</c:v>
                </c:pt>
                <c:pt idx="9">
                  <c:v>0.1541050484446711</c:v>
                </c:pt>
                <c:pt idx="10">
                  <c:v>0.1501957414303447</c:v>
                </c:pt>
                <c:pt idx="11">
                  <c:v>0.14400635614261595</c:v>
                </c:pt>
                <c:pt idx="12">
                  <c:v>0.14689437836738845</c:v>
                </c:pt>
                <c:pt idx="13">
                  <c:v>0.14867657187838237</c:v>
                </c:pt>
                <c:pt idx="14">
                  <c:v>0.14461994076999013</c:v>
                </c:pt>
                <c:pt idx="15">
                  <c:v>0.1483667847304211</c:v>
                </c:pt>
                <c:pt idx="16">
                  <c:v>0.15293668954996187</c:v>
                </c:pt>
                <c:pt idx="17">
                  <c:v>0.14997207223980638</c:v>
                </c:pt>
                <c:pt idx="18">
                  <c:v>0.15067422317764315</c:v>
                </c:pt>
                <c:pt idx="19">
                  <c:v>0.15464328417696294</c:v>
                </c:pt>
                <c:pt idx="20">
                  <c:v>0.14840548726171388</c:v>
                </c:pt>
                <c:pt idx="21">
                  <c:v>0.15576073865917303</c:v>
                </c:pt>
                <c:pt idx="22">
                  <c:v>0.15258879660717442</c:v>
                </c:pt>
                <c:pt idx="23">
                  <c:v>0.15013835579755422</c:v>
                </c:pt>
                <c:pt idx="24">
                  <c:v>0.1502724404932607</c:v>
                </c:pt>
                <c:pt idx="25">
                  <c:v>0.15353260869565216</c:v>
                </c:pt>
                <c:pt idx="26">
                  <c:v>0.1514680147773673</c:v>
                </c:pt>
                <c:pt idx="27">
                  <c:v>0.14773816787239605</c:v>
                </c:pt>
                <c:pt idx="28">
                  <c:v>0.14661347356967994</c:v>
                </c:pt>
                <c:pt idx="29">
                  <c:v>0.1486734201640135</c:v>
                </c:pt>
                <c:pt idx="30">
                  <c:v>0.1460796645702306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Req3!$B$144</c:f>
              <c:strCache>
                <c:ptCount val="1"/>
                <c:pt idx="0">
                  <c:v>TAHOR 20mg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Req3!$C$144:$AG$144</c:f>
              <c:numCache>
                <c:ptCount val="31"/>
                <c:pt idx="0">
                  <c:v>0.050200585492789766</c:v>
                </c:pt>
                <c:pt idx="1">
                  <c:v>0.04935095310490001</c:v>
                </c:pt>
                <c:pt idx="2">
                  <c:v>0.051313042522799696</c:v>
                </c:pt>
                <c:pt idx="3">
                  <c:v>0.0557883131201764</c:v>
                </c:pt>
                <c:pt idx="4">
                  <c:v>0.05390412392715093</c:v>
                </c:pt>
                <c:pt idx="5">
                  <c:v>0.054425281421047196</c:v>
                </c:pt>
                <c:pt idx="6">
                  <c:v>0.05514509048077953</c:v>
                </c:pt>
                <c:pt idx="7">
                  <c:v>0.057904085257548844</c:v>
                </c:pt>
                <c:pt idx="8">
                  <c:v>0.05520546729386704</c:v>
                </c:pt>
                <c:pt idx="9">
                  <c:v>0.05527791942886282</c:v>
                </c:pt>
                <c:pt idx="10">
                  <c:v>0.05480760049651485</c:v>
                </c:pt>
                <c:pt idx="11">
                  <c:v>0.05402721223557454</c:v>
                </c:pt>
                <c:pt idx="12">
                  <c:v>0.052861644810409676</c:v>
                </c:pt>
                <c:pt idx="13">
                  <c:v>0.05136278657876611</c:v>
                </c:pt>
                <c:pt idx="14">
                  <c:v>0.05478775913129319</c:v>
                </c:pt>
                <c:pt idx="15">
                  <c:v>0.05371900826446281</c:v>
                </c:pt>
                <c:pt idx="16">
                  <c:v>0.052917620137299774</c:v>
                </c:pt>
                <c:pt idx="17">
                  <c:v>0.05501768758145597</c:v>
                </c:pt>
                <c:pt idx="18">
                  <c:v>0.05413328121946453</c:v>
                </c:pt>
                <c:pt idx="19">
                  <c:v>0.05300916699880431</c:v>
                </c:pt>
                <c:pt idx="20">
                  <c:v>0.05522893283449136</c:v>
                </c:pt>
                <c:pt idx="21">
                  <c:v>0.057306302689682856</c:v>
                </c:pt>
                <c:pt idx="22">
                  <c:v>0.055045060964834774</c:v>
                </c:pt>
                <c:pt idx="23">
                  <c:v>0.05453896277782737</c:v>
                </c:pt>
                <c:pt idx="24">
                  <c:v>0.05525284389637702</c:v>
                </c:pt>
                <c:pt idx="25">
                  <c:v>0.05579710144927536</c:v>
                </c:pt>
                <c:pt idx="26">
                  <c:v>0.05658176161773284</c:v>
                </c:pt>
                <c:pt idx="27">
                  <c:v>0.054737209099625206</c:v>
                </c:pt>
                <c:pt idx="28">
                  <c:v>0.05286064013056487</c:v>
                </c:pt>
                <c:pt idx="29">
                  <c:v>0.05470332850940666</c:v>
                </c:pt>
                <c:pt idx="30">
                  <c:v>0.051236897274633125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Req3!$B$145</c:f>
              <c:strCache>
                <c:ptCount val="1"/>
                <c:pt idx="0">
                  <c:v>TAHOR 40mg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Req3!$C$145:$AG$145</c:f>
              <c:numCache>
                <c:ptCount val="31"/>
                <c:pt idx="0">
                  <c:v>0.04239401496259352</c:v>
                </c:pt>
                <c:pt idx="1">
                  <c:v>0.04408841071219741</c:v>
                </c:pt>
                <c:pt idx="2">
                  <c:v>0.045819140753763324</c:v>
                </c:pt>
                <c:pt idx="3">
                  <c:v>0.04288864388092613</c:v>
                </c:pt>
                <c:pt idx="4">
                  <c:v>0.04259995813271928</c:v>
                </c:pt>
                <c:pt idx="5">
                  <c:v>0.042961891975627386</c:v>
                </c:pt>
                <c:pt idx="6">
                  <c:v>0.043366527465467396</c:v>
                </c:pt>
                <c:pt idx="7">
                  <c:v>0.04168146832445234</c:v>
                </c:pt>
                <c:pt idx="8">
                  <c:v>0.04260228987308068</c:v>
                </c:pt>
                <c:pt idx="9">
                  <c:v>0.04232534421213666</c:v>
                </c:pt>
                <c:pt idx="10">
                  <c:v>0.041344409433782106</c:v>
                </c:pt>
                <c:pt idx="11">
                  <c:v>0.040818353361803554</c:v>
                </c:pt>
                <c:pt idx="12">
                  <c:v>0.041272745755819865</c:v>
                </c:pt>
                <c:pt idx="13">
                  <c:v>0.04427826429203975</c:v>
                </c:pt>
                <c:pt idx="14">
                  <c:v>0.041559723593287266</c:v>
                </c:pt>
                <c:pt idx="15">
                  <c:v>0.04329004329004329</c:v>
                </c:pt>
                <c:pt idx="16">
                  <c:v>0.041571319603356215</c:v>
                </c:pt>
                <c:pt idx="17">
                  <c:v>0.042077825358406255</c:v>
                </c:pt>
                <c:pt idx="18">
                  <c:v>0.04201680672268908</c:v>
                </c:pt>
                <c:pt idx="19">
                  <c:v>0.04204862495017935</c:v>
                </c:pt>
                <c:pt idx="20">
                  <c:v>0.038214858364510954</c:v>
                </c:pt>
                <c:pt idx="21">
                  <c:v>0.04034524287434765</c:v>
                </c:pt>
                <c:pt idx="22">
                  <c:v>0.03993638452023326</c:v>
                </c:pt>
                <c:pt idx="23">
                  <c:v>0.04052485941265732</c:v>
                </c:pt>
                <c:pt idx="24">
                  <c:v>0.038715227989675936</c:v>
                </c:pt>
                <c:pt idx="25">
                  <c:v>0.03958333333333333</c:v>
                </c:pt>
                <c:pt idx="26">
                  <c:v>0.0379156134551818</c:v>
                </c:pt>
                <c:pt idx="27">
                  <c:v>0.0361718818094657</c:v>
                </c:pt>
                <c:pt idx="28">
                  <c:v>0.035996010517725996</c:v>
                </c:pt>
                <c:pt idx="29">
                  <c:v>0.03859141341051616</c:v>
                </c:pt>
                <c:pt idx="30">
                  <c:v>0.039161425576519915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Req3!$B$146</c:f>
              <c:strCache>
                <c:ptCount val="1"/>
                <c:pt idx="0">
                  <c:v>TAHOR 80mg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Req3!$C$146:$AG$146</c:f>
              <c:numCache>
                <c:ptCount val="31"/>
                <c:pt idx="0">
                  <c:v>0.0022769164046405723</c:v>
                </c:pt>
                <c:pt idx="1">
                  <c:v>0.0021050169570810432</c:v>
                </c:pt>
                <c:pt idx="2">
                  <c:v>0.0026370728491374573</c:v>
                </c:pt>
                <c:pt idx="3">
                  <c:v>0.002646085997794928</c:v>
                </c:pt>
                <c:pt idx="4">
                  <c:v>0.0023027004396064476</c:v>
                </c:pt>
                <c:pt idx="5">
                  <c:v>0.0033047609212021067</c:v>
                </c:pt>
                <c:pt idx="6">
                  <c:v>0.0032123353678123997</c:v>
                </c:pt>
                <c:pt idx="7">
                  <c:v>0.0027235050325636473</c:v>
                </c:pt>
                <c:pt idx="8">
                  <c:v>0.0029289074287742966</c:v>
                </c:pt>
                <c:pt idx="9">
                  <c:v>0.003263640999490056</c:v>
                </c:pt>
                <c:pt idx="10">
                  <c:v>0.0032464432349852</c:v>
                </c:pt>
                <c:pt idx="11">
                  <c:v>0.003972589134968716</c:v>
                </c:pt>
                <c:pt idx="12">
                  <c:v>0.004269594388533089</c:v>
                </c:pt>
                <c:pt idx="13">
                  <c:v>0.004132638000590377</c:v>
                </c:pt>
                <c:pt idx="14">
                  <c:v>0.004343534057255676</c:v>
                </c:pt>
                <c:pt idx="15">
                  <c:v>0.0038370720188902006</c:v>
                </c:pt>
                <c:pt idx="16">
                  <c:v>0.004767353165522502</c:v>
                </c:pt>
                <c:pt idx="17">
                  <c:v>0.005213181902811394</c:v>
                </c:pt>
                <c:pt idx="18">
                  <c:v>0.004592534688293922</c:v>
                </c:pt>
                <c:pt idx="19">
                  <c:v>0.0051813471502590676</c:v>
                </c:pt>
                <c:pt idx="20">
                  <c:v>0.006502761446641725</c:v>
                </c:pt>
                <c:pt idx="21">
                  <c:v>0.005519871537535127</c:v>
                </c:pt>
                <c:pt idx="22">
                  <c:v>0.006361547976674324</c:v>
                </c:pt>
                <c:pt idx="23">
                  <c:v>0.006159064536284923</c:v>
                </c:pt>
                <c:pt idx="24">
                  <c:v>0.0075518592868750595</c:v>
                </c:pt>
                <c:pt idx="25">
                  <c:v>0.007336956521739131</c:v>
                </c:pt>
                <c:pt idx="26">
                  <c:v>0.0069025860392766866</c:v>
                </c:pt>
                <c:pt idx="27">
                  <c:v>0.00723437636189314</c:v>
                </c:pt>
                <c:pt idx="28">
                  <c:v>0.00670958382446278</c:v>
                </c:pt>
                <c:pt idx="29">
                  <c:v>0.005595754944524843</c:v>
                </c:pt>
                <c:pt idx="30">
                  <c:v>0.006373165618448637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Req3!$B$147</c:f>
              <c:strCache>
                <c:ptCount val="1"/>
                <c:pt idx="0">
                  <c:v>CRESTOR 5mg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Req3!$C$147:$AG$147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0.00438421681944998</c:v>
                </c:pt>
                <c:pt idx="20">
                  <c:v>0.010956707642971674</c:v>
                </c:pt>
                <c:pt idx="21">
                  <c:v>0.01495383380168607</c:v>
                </c:pt>
                <c:pt idx="22">
                  <c:v>0.020409966425163458</c:v>
                </c:pt>
                <c:pt idx="23">
                  <c:v>0.0278496831205927</c:v>
                </c:pt>
                <c:pt idx="24">
                  <c:v>0.03068540292515056</c:v>
                </c:pt>
                <c:pt idx="25">
                  <c:v>0.03179347826086956</c:v>
                </c:pt>
                <c:pt idx="26">
                  <c:v>0.0408321991055804</c:v>
                </c:pt>
                <c:pt idx="27">
                  <c:v>0.041314390307678896</c:v>
                </c:pt>
                <c:pt idx="28">
                  <c:v>0.045607035996010514</c:v>
                </c:pt>
                <c:pt idx="29">
                  <c:v>0.04737095996140859</c:v>
                </c:pt>
                <c:pt idx="30">
                  <c:v>0.04905660377358491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Req3!$B$148</c:f>
              <c:strCache>
                <c:ptCount val="1"/>
                <c:pt idx="0">
                  <c:v>CRESTOR 10mg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Req3!$C$148:$AG$148</c:f>
              <c:numCache>
                <c:ptCount val="31"/>
                <c:pt idx="0">
                  <c:v>0.024395532906863276</c:v>
                </c:pt>
                <c:pt idx="1">
                  <c:v>0.025961875803999532</c:v>
                </c:pt>
                <c:pt idx="2">
                  <c:v>0.024722557960663662</c:v>
                </c:pt>
                <c:pt idx="3">
                  <c:v>0.027122381477398014</c:v>
                </c:pt>
                <c:pt idx="4">
                  <c:v>0.02763240527527737</c:v>
                </c:pt>
                <c:pt idx="5">
                  <c:v>0.028916658060518435</c:v>
                </c:pt>
                <c:pt idx="6">
                  <c:v>0.03255166506049898</c:v>
                </c:pt>
                <c:pt idx="7">
                  <c:v>0.03197158081705151</c:v>
                </c:pt>
                <c:pt idx="8">
                  <c:v>0.03479187006301589</c:v>
                </c:pt>
                <c:pt idx="9">
                  <c:v>0.035594084650688425</c:v>
                </c:pt>
                <c:pt idx="10">
                  <c:v>0.03762054807600496</c:v>
                </c:pt>
                <c:pt idx="11">
                  <c:v>0.03724302314033171</c:v>
                </c:pt>
                <c:pt idx="12">
                  <c:v>0.03618989529328047</c:v>
                </c:pt>
                <c:pt idx="13">
                  <c:v>0.03798091114828299</c:v>
                </c:pt>
                <c:pt idx="14">
                  <c:v>0.03731490621915104</c:v>
                </c:pt>
                <c:pt idx="15">
                  <c:v>0.04083038173947265</c:v>
                </c:pt>
                <c:pt idx="16">
                  <c:v>0.041952707856598014</c:v>
                </c:pt>
                <c:pt idx="17">
                  <c:v>0.04198473282442748</c:v>
                </c:pt>
                <c:pt idx="18">
                  <c:v>0.040941958178620286</c:v>
                </c:pt>
                <c:pt idx="19">
                  <c:v>0.045635711438820246</c:v>
                </c:pt>
                <c:pt idx="20">
                  <c:v>0.04471761981115268</c:v>
                </c:pt>
                <c:pt idx="21">
                  <c:v>0.044761140104375756</c:v>
                </c:pt>
                <c:pt idx="22">
                  <c:v>0.045414384166813926</c:v>
                </c:pt>
                <c:pt idx="23">
                  <c:v>0.046059091314826384</c:v>
                </c:pt>
                <c:pt idx="24">
                  <c:v>0.04770098460950196</c:v>
                </c:pt>
                <c:pt idx="25">
                  <c:v>0.0463768115942029</c:v>
                </c:pt>
                <c:pt idx="26">
                  <c:v>0.04734590705813727</c:v>
                </c:pt>
                <c:pt idx="27">
                  <c:v>0.04392922513727883</c:v>
                </c:pt>
                <c:pt idx="28">
                  <c:v>0.04542569589264666</c:v>
                </c:pt>
                <c:pt idx="29">
                  <c:v>0.04486251808972504</c:v>
                </c:pt>
                <c:pt idx="30">
                  <c:v>0.04377358490566038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Req3!$B$149</c:f>
              <c:strCache>
                <c:ptCount val="1"/>
                <c:pt idx="0">
                  <c:v>CRESTOR 20mg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Req3!$C$149:$AG$149</c:f>
              <c:numCache>
                <c:ptCount val="31"/>
                <c:pt idx="0">
                  <c:v>0.0021684918139434025</c:v>
                </c:pt>
                <c:pt idx="1">
                  <c:v>0.0025727985030990527</c:v>
                </c:pt>
                <c:pt idx="2">
                  <c:v>0.0018679266014723656</c:v>
                </c:pt>
                <c:pt idx="3">
                  <c:v>0.0036383682469680267</c:v>
                </c:pt>
                <c:pt idx="4">
                  <c:v>0.0033493824576093785</c:v>
                </c:pt>
                <c:pt idx="5">
                  <c:v>0.0036145822575648044</c:v>
                </c:pt>
                <c:pt idx="6">
                  <c:v>0.004604347360531106</c:v>
                </c:pt>
                <c:pt idx="7">
                  <c:v>0.003552397868561279</c:v>
                </c:pt>
                <c:pt idx="8">
                  <c:v>0.0037277003638945595</c:v>
                </c:pt>
                <c:pt idx="9">
                  <c:v>0.003161652218255992</c:v>
                </c:pt>
                <c:pt idx="10">
                  <c:v>0.0037238613577771414</c:v>
                </c:pt>
                <c:pt idx="11">
                  <c:v>0.0033767007647234086</c:v>
                </c:pt>
                <c:pt idx="12">
                  <c:v>0.003964623360780726</c:v>
                </c:pt>
                <c:pt idx="13">
                  <c:v>0.005214995572173571</c:v>
                </c:pt>
                <c:pt idx="14">
                  <c:v>0.004738400789733465</c:v>
                </c:pt>
                <c:pt idx="15">
                  <c:v>0.005116096025186935</c:v>
                </c:pt>
                <c:pt idx="16">
                  <c:v>0.005148741418764302</c:v>
                </c:pt>
                <c:pt idx="17">
                  <c:v>0.00474771923291752</c:v>
                </c:pt>
                <c:pt idx="18">
                  <c:v>0.00586281024037522</c:v>
                </c:pt>
                <c:pt idx="19">
                  <c:v>0.004483858110801116</c:v>
                </c:pt>
                <c:pt idx="20">
                  <c:v>0.0060573668270087295</c:v>
                </c:pt>
                <c:pt idx="21">
                  <c:v>0.005620232838217583</c:v>
                </c:pt>
                <c:pt idx="22">
                  <c:v>0.006008128644636862</c:v>
                </c:pt>
                <c:pt idx="23">
                  <c:v>0.005623493707042756</c:v>
                </c:pt>
                <c:pt idx="24">
                  <c:v>0.005544403020743715</c:v>
                </c:pt>
                <c:pt idx="25">
                  <c:v>0.005344202898550724</c:v>
                </c:pt>
                <c:pt idx="26">
                  <c:v>0.00641648843087692</c:v>
                </c:pt>
                <c:pt idx="27">
                  <c:v>0.005839797786106511</c:v>
                </c:pt>
                <c:pt idx="28">
                  <c:v>0.0065282437210989214</c:v>
                </c:pt>
                <c:pt idx="29">
                  <c:v>0.005981669078630005</c:v>
                </c:pt>
                <c:pt idx="30">
                  <c:v>0.006960167714884696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Req3!$B$150</c:f>
              <c:strCache>
                <c:ptCount val="1"/>
                <c:pt idx="0">
                  <c:v>EZETROL 10mg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Req3!$C$150:$AG$150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0.00064246707356248</c:v>
                </c:pt>
                <c:pt idx="7">
                  <c:v>0.005091770278271166</c:v>
                </c:pt>
                <c:pt idx="8">
                  <c:v>0.011804384485666104</c:v>
                </c:pt>
                <c:pt idx="9">
                  <c:v>0.01754207037225905</c:v>
                </c:pt>
                <c:pt idx="10">
                  <c:v>0.02043349565549508</c:v>
                </c:pt>
                <c:pt idx="11">
                  <c:v>0.024927996821928693</c:v>
                </c:pt>
                <c:pt idx="12">
                  <c:v>0.03059875978448714</c:v>
                </c:pt>
                <c:pt idx="13">
                  <c:v>0.02873167371839024</c:v>
                </c:pt>
                <c:pt idx="14">
                  <c:v>0.030207305034550838</c:v>
                </c:pt>
                <c:pt idx="15">
                  <c:v>0.03020464384100748</c:v>
                </c:pt>
                <c:pt idx="16">
                  <c:v>0.03241800152555301</c:v>
                </c:pt>
                <c:pt idx="17">
                  <c:v>0.03407186743623161</c:v>
                </c:pt>
                <c:pt idx="18">
                  <c:v>0.03625170998632011</c:v>
                </c:pt>
                <c:pt idx="19">
                  <c:v>0.038262255878836186</c:v>
                </c:pt>
                <c:pt idx="20">
                  <c:v>0.035987885266345984</c:v>
                </c:pt>
                <c:pt idx="21">
                  <c:v>0.0388398233641108</c:v>
                </c:pt>
                <c:pt idx="22">
                  <c:v>0.03684396536490546</c:v>
                </c:pt>
                <c:pt idx="23">
                  <c:v>0.036418816388467376</c:v>
                </c:pt>
                <c:pt idx="24">
                  <c:v>0.03823726221202562</c:v>
                </c:pt>
                <c:pt idx="25">
                  <c:v>0.0375</c:v>
                </c:pt>
                <c:pt idx="26">
                  <c:v>0.03558234493486292</c:v>
                </c:pt>
                <c:pt idx="27">
                  <c:v>0.037827943868212324</c:v>
                </c:pt>
                <c:pt idx="28">
                  <c:v>0.04052951310182247</c:v>
                </c:pt>
                <c:pt idx="29">
                  <c:v>0.03888084901109503</c:v>
                </c:pt>
                <c:pt idx="30">
                  <c:v>0.03865828092243186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Req3!$B$151</c:f>
              <c:strCache>
                <c:ptCount val="1"/>
                <c:pt idx="0">
                  <c:v>INEGY 10/20mg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Req3!$C$151:$AG$151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0.00039085401602501464</c:v>
                </c:pt>
                <c:pt idx="19">
                  <c:v>0.001096054204862495</c:v>
                </c:pt>
                <c:pt idx="20">
                  <c:v>0.002137894174238375</c:v>
                </c:pt>
                <c:pt idx="21">
                  <c:v>0.0034122842232035327</c:v>
                </c:pt>
                <c:pt idx="22">
                  <c:v>0.004594451316487012</c:v>
                </c:pt>
                <c:pt idx="23">
                  <c:v>0.004998661072926894</c:v>
                </c:pt>
                <c:pt idx="24">
                  <c:v>0.006978300353694676</c:v>
                </c:pt>
                <c:pt idx="25">
                  <c:v>0.005978260869565218</c:v>
                </c:pt>
                <c:pt idx="26">
                  <c:v>0.00816643982111608</c:v>
                </c:pt>
                <c:pt idx="27">
                  <c:v>0.009064760742613092</c:v>
                </c:pt>
                <c:pt idx="28">
                  <c:v>0.009611025478284522</c:v>
                </c:pt>
                <c:pt idx="29">
                  <c:v>0.011191509889049687</c:v>
                </c:pt>
                <c:pt idx="30">
                  <c:v>0.011153039832285116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Req3!$B$152</c:f>
              <c:strCache>
                <c:ptCount val="1"/>
                <c:pt idx="0">
                  <c:v>INEGY 10/40mg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Req3!$C$152:$AG$152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0.00019542700801250732</c:v>
                </c:pt>
                <c:pt idx="19">
                  <c:v>0.0007971303308090873</c:v>
                </c:pt>
                <c:pt idx="20">
                  <c:v>0.0014252627828255835</c:v>
                </c:pt>
                <c:pt idx="21">
                  <c:v>0.002007226013649137</c:v>
                </c:pt>
                <c:pt idx="22">
                  <c:v>0.003180773988337162</c:v>
                </c:pt>
                <c:pt idx="23">
                  <c:v>0.0036597339998214766</c:v>
                </c:pt>
                <c:pt idx="24">
                  <c:v>0.00449287830991301</c:v>
                </c:pt>
                <c:pt idx="25">
                  <c:v>0.005163043478260869</c:v>
                </c:pt>
                <c:pt idx="26">
                  <c:v>0.00495819560567762</c:v>
                </c:pt>
                <c:pt idx="27">
                  <c:v>0.006711409395973154</c:v>
                </c:pt>
                <c:pt idx="28">
                  <c:v>0.006074893462689274</c:v>
                </c:pt>
                <c:pt idx="29">
                  <c:v>0.005885190545103714</c:v>
                </c:pt>
                <c:pt idx="30">
                  <c:v>0.006373165618448637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Req3!$B$153</c:f>
              <c:strCache>
                <c:ptCount val="1"/>
                <c:pt idx="0">
                  <c:v>LIPUR 450mg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Req3!$C$153:$AG$153</c:f>
              <c:numCache>
                <c:ptCount val="31"/>
                <c:pt idx="0">
                  <c:v>0.0022769164046405723</c:v>
                </c:pt>
                <c:pt idx="1">
                  <c:v>0.003508361595135072</c:v>
                </c:pt>
                <c:pt idx="2">
                  <c:v>0.002746950884518185</c:v>
                </c:pt>
                <c:pt idx="3">
                  <c:v>0.001984564498346196</c:v>
                </c:pt>
                <c:pt idx="4">
                  <c:v>0.0019886958342055683</c:v>
                </c:pt>
                <c:pt idx="5">
                  <c:v>0.0022720231333264486</c:v>
                </c:pt>
                <c:pt idx="6">
                  <c:v>0.0016061676839061998</c:v>
                </c:pt>
                <c:pt idx="7">
                  <c:v>0.0020130254588513912</c:v>
                </c:pt>
                <c:pt idx="8">
                  <c:v>0.0015975858702405254</c:v>
                </c:pt>
                <c:pt idx="9">
                  <c:v>0.001631820499745028</c:v>
                </c:pt>
                <c:pt idx="10">
                  <c:v>0.0019096724911677647</c:v>
                </c:pt>
                <c:pt idx="11">
                  <c:v>0.0021849240242327937</c:v>
                </c:pt>
                <c:pt idx="12">
                  <c:v>0.0023381112127681203</c:v>
                </c:pt>
                <c:pt idx="13">
                  <c:v>0.0026566958575223853</c:v>
                </c:pt>
                <c:pt idx="14">
                  <c:v>0.002764067127344521</c:v>
                </c:pt>
                <c:pt idx="15">
                  <c:v>0.0023612750885478157</c:v>
                </c:pt>
                <c:pt idx="16">
                  <c:v>0.002383676582761251</c:v>
                </c:pt>
                <c:pt idx="17">
                  <c:v>0.0023273133494693724</c:v>
                </c:pt>
                <c:pt idx="18">
                  <c:v>0.0017588430721125659</c:v>
                </c:pt>
                <c:pt idx="19">
                  <c:v>0.0015942606616181746</c:v>
                </c:pt>
                <c:pt idx="20">
                  <c:v>0.0015143417067521824</c:v>
                </c:pt>
                <c:pt idx="21">
                  <c:v>0.0018065034122842231</c:v>
                </c:pt>
                <c:pt idx="22">
                  <c:v>0.0020321611592154093</c:v>
                </c:pt>
                <c:pt idx="23">
                  <c:v>0.0017852360974738909</c:v>
                </c:pt>
                <c:pt idx="24">
                  <c:v>0.0021986425771914732</c:v>
                </c:pt>
                <c:pt idx="25">
                  <c:v>0.0012681159420289854</c:v>
                </c:pt>
                <c:pt idx="26">
                  <c:v>0.0012638537818393933</c:v>
                </c:pt>
                <c:pt idx="27">
                  <c:v>0.0013074174147999652</c:v>
                </c:pt>
                <c:pt idx="28">
                  <c:v>0.0017227309819566597</c:v>
                </c:pt>
                <c:pt idx="29">
                  <c:v>0.0011577424023154848</c:v>
                </c:pt>
                <c:pt idx="30">
                  <c:v>0.0014255765199161425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Req3!$B$154</c:f>
              <c:strCache>
                <c:ptCount val="1"/>
                <c:pt idx="0">
                  <c:v>Fénofibrate 67mg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Req3!$C$154:$AG$154</c:f>
              <c:numCache>
                <c:ptCount val="31"/>
                <c:pt idx="0">
                  <c:v>0.010950883660414181</c:v>
                </c:pt>
                <c:pt idx="1">
                  <c:v>0.011343702490936733</c:v>
                </c:pt>
                <c:pt idx="2">
                  <c:v>0.010768047467311284</c:v>
                </c:pt>
                <c:pt idx="3">
                  <c:v>0.010584343991179712</c:v>
                </c:pt>
                <c:pt idx="4">
                  <c:v>0.010466820180029307</c:v>
                </c:pt>
                <c:pt idx="5">
                  <c:v>0.011876484560570071</c:v>
                </c:pt>
                <c:pt idx="6">
                  <c:v>0.010707784559374666</c:v>
                </c:pt>
                <c:pt idx="7">
                  <c:v>0.009473060982830076</c:v>
                </c:pt>
                <c:pt idx="8">
                  <c:v>0.010473062927132333</c:v>
                </c:pt>
                <c:pt idx="9">
                  <c:v>0.011218765935747067</c:v>
                </c:pt>
                <c:pt idx="10">
                  <c:v>0.010407715076864318</c:v>
                </c:pt>
                <c:pt idx="11">
                  <c:v>0.01132187903466084</c:v>
                </c:pt>
                <c:pt idx="12">
                  <c:v>0.01270712615634848</c:v>
                </c:pt>
                <c:pt idx="13">
                  <c:v>0.010626783430089541</c:v>
                </c:pt>
                <c:pt idx="14">
                  <c:v>0.010760118460019744</c:v>
                </c:pt>
                <c:pt idx="15">
                  <c:v>0.011806375442739079</c:v>
                </c:pt>
                <c:pt idx="16">
                  <c:v>0.010774218154080854</c:v>
                </c:pt>
                <c:pt idx="17">
                  <c:v>0.009029975795941166</c:v>
                </c:pt>
                <c:pt idx="18">
                  <c:v>0.011139339456712917</c:v>
                </c:pt>
                <c:pt idx="19">
                  <c:v>0.009166998804304504</c:v>
                </c:pt>
                <c:pt idx="20">
                  <c:v>0.010065918403705684</c:v>
                </c:pt>
                <c:pt idx="21">
                  <c:v>0.008831794460056202</c:v>
                </c:pt>
                <c:pt idx="22">
                  <c:v>0.00865877363491783</c:v>
                </c:pt>
                <c:pt idx="23">
                  <c:v>0.008569133267874677</c:v>
                </c:pt>
                <c:pt idx="24">
                  <c:v>0.009559315553006405</c:v>
                </c:pt>
                <c:pt idx="25">
                  <c:v>0.008605072463768116</c:v>
                </c:pt>
                <c:pt idx="26">
                  <c:v>0.009430293602955473</c:v>
                </c:pt>
                <c:pt idx="27">
                  <c:v>0.008367471454719777</c:v>
                </c:pt>
                <c:pt idx="28">
                  <c:v>0.007525614289600145</c:v>
                </c:pt>
                <c:pt idx="29">
                  <c:v>0.007525325615050651</c:v>
                </c:pt>
                <c:pt idx="30">
                  <c:v>0.008469601677148848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Req3!$B$155</c:f>
              <c:strCache>
                <c:ptCount val="1"/>
                <c:pt idx="0">
                  <c:v>Fénofibrate 100mg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Req3!$C$155:$AG$155</c:f>
              <c:numCache>
                <c:ptCount val="31"/>
                <c:pt idx="0">
                  <c:v>0.003469586902309444</c:v>
                </c:pt>
                <c:pt idx="1">
                  <c:v>0.003274470822126067</c:v>
                </c:pt>
                <c:pt idx="2">
                  <c:v>0.003955609273706186</c:v>
                </c:pt>
                <c:pt idx="3">
                  <c:v>0.0030871003307607497</c:v>
                </c:pt>
                <c:pt idx="4">
                  <c:v>0.0036633870630102573</c:v>
                </c:pt>
                <c:pt idx="5">
                  <c:v>0.0036145822575648044</c:v>
                </c:pt>
                <c:pt idx="6">
                  <c:v>0.003426491058999893</c:v>
                </c:pt>
                <c:pt idx="7">
                  <c:v>0.0041444641799881585</c:v>
                </c:pt>
                <c:pt idx="8">
                  <c:v>0.0032839265110499688</c:v>
                </c:pt>
                <c:pt idx="9">
                  <c:v>0.0038755736868944417</c:v>
                </c:pt>
                <c:pt idx="10">
                  <c:v>0.0039148286068939175</c:v>
                </c:pt>
                <c:pt idx="11">
                  <c:v>0.004171218591717152</c:v>
                </c:pt>
                <c:pt idx="12">
                  <c:v>0.0034563383145267868</c:v>
                </c:pt>
                <c:pt idx="13">
                  <c:v>0.004034241857719177</c:v>
                </c:pt>
                <c:pt idx="14">
                  <c:v>0.0034550839091806516</c:v>
                </c:pt>
                <c:pt idx="15">
                  <c:v>0.0033451397087760726</c:v>
                </c:pt>
                <c:pt idx="16">
                  <c:v>0.004195270785659802</c:v>
                </c:pt>
                <c:pt idx="17">
                  <c:v>0.0030720536212995716</c:v>
                </c:pt>
                <c:pt idx="18">
                  <c:v>0.0036153996482313857</c:v>
                </c:pt>
                <c:pt idx="19">
                  <c:v>0.0035870864886408927</c:v>
                </c:pt>
                <c:pt idx="20">
                  <c:v>0.00347407803313736</c:v>
                </c:pt>
                <c:pt idx="21">
                  <c:v>0.003010839020473705</c:v>
                </c:pt>
                <c:pt idx="22">
                  <c:v>0.0030924191553277965</c:v>
                </c:pt>
                <c:pt idx="23">
                  <c:v>0.00294563956083192</c:v>
                </c:pt>
                <c:pt idx="24">
                  <c:v>0.0030589809769620497</c:v>
                </c:pt>
                <c:pt idx="25">
                  <c:v>0.003532608695652174</c:v>
                </c:pt>
                <c:pt idx="26">
                  <c:v>0.0033054637371184134</c:v>
                </c:pt>
                <c:pt idx="27">
                  <c:v>0.0031378017955199164</c:v>
                </c:pt>
                <c:pt idx="28">
                  <c:v>0.0029014416538217427</c:v>
                </c:pt>
                <c:pt idx="29">
                  <c:v>0.002894356005788712</c:v>
                </c:pt>
                <c:pt idx="30">
                  <c:v>0.002851153039832285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Req3!$B$156</c:f>
              <c:strCache>
                <c:ptCount val="1"/>
                <c:pt idx="0">
                  <c:v>Fénofibrate 140mg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Req3!$C$156:$AG$156</c:f>
              <c:numCache>
                <c:ptCount val="31"/>
                <c:pt idx="0">
                  <c:v>0.001843218041851892</c:v>
                </c:pt>
                <c:pt idx="1">
                  <c:v>0.001754180797567536</c:v>
                </c:pt>
                <c:pt idx="2">
                  <c:v>0.0017580485660916383</c:v>
                </c:pt>
                <c:pt idx="3">
                  <c:v>0.0011025358324145535</c:v>
                </c:pt>
                <c:pt idx="4">
                  <c:v>0.001465354825204103</c:v>
                </c:pt>
                <c:pt idx="5">
                  <c:v>0.00123928534545079</c:v>
                </c:pt>
                <c:pt idx="6">
                  <c:v>0.0010707784559374665</c:v>
                </c:pt>
                <c:pt idx="7">
                  <c:v>0.0010657193605683837</c:v>
                </c:pt>
                <c:pt idx="8">
                  <c:v>0.0016863406408094434</c:v>
                </c:pt>
                <c:pt idx="9">
                  <c:v>0.001631820499745028</c:v>
                </c:pt>
                <c:pt idx="10">
                  <c:v>0.0015277379929342118</c:v>
                </c:pt>
                <c:pt idx="11">
                  <c:v>0.0015890356539874863</c:v>
                </c:pt>
                <c:pt idx="12">
                  <c:v>0.0018298261665141812</c:v>
                </c:pt>
                <c:pt idx="13">
                  <c:v>0.0014759421430679918</c:v>
                </c:pt>
                <c:pt idx="14">
                  <c:v>0.0014807502467917078</c:v>
                </c:pt>
                <c:pt idx="15">
                  <c:v>0.0012790240062967337</c:v>
                </c:pt>
                <c:pt idx="16">
                  <c:v>0.0015255530129672007</c:v>
                </c:pt>
                <c:pt idx="17">
                  <c:v>0.0012102029417240738</c:v>
                </c:pt>
                <c:pt idx="18">
                  <c:v>0.0017588430721125659</c:v>
                </c:pt>
                <c:pt idx="19">
                  <c:v>0.0009964129135113591</c:v>
                </c:pt>
                <c:pt idx="20">
                  <c:v>0.0015143417067521824</c:v>
                </c:pt>
                <c:pt idx="21">
                  <c:v>0.0009032517061421116</c:v>
                </c:pt>
                <c:pt idx="22">
                  <c:v>0.0010602579961123874</c:v>
                </c:pt>
                <c:pt idx="23">
                  <c:v>0.0011604034633580292</c:v>
                </c:pt>
                <c:pt idx="24">
                  <c:v>0.0009559315553006405</c:v>
                </c:pt>
                <c:pt idx="25">
                  <c:v>0.0008152173913043478</c:v>
                </c:pt>
                <c:pt idx="26">
                  <c:v>0.0006805366517596734</c:v>
                </c:pt>
                <c:pt idx="27">
                  <c:v>0.0006972892878933148</c:v>
                </c:pt>
                <c:pt idx="28">
                  <c:v>0.0007253604134554357</c:v>
                </c:pt>
                <c:pt idx="29">
                  <c:v>0.0005788712011577424</c:v>
                </c:pt>
                <c:pt idx="30">
                  <c:v>0.001090146750524109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Req3!$B$157</c:f>
              <c:strCache>
                <c:ptCount val="1"/>
                <c:pt idx="0">
                  <c:v>Fénofibrate 145mg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Req3!$C$157:$AG$157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0.0016034206306787815</c:v>
                </c:pt>
                <c:pt idx="21">
                  <c:v>0.008530710558008832</c:v>
                </c:pt>
                <c:pt idx="22">
                  <c:v>0.012458031454320551</c:v>
                </c:pt>
                <c:pt idx="23">
                  <c:v>0.01865571721860216</c:v>
                </c:pt>
                <c:pt idx="24">
                  <c:v>0.025140999904406845</c:v>
                </c:pt>
                <c:pt idx="25">
                  <c:v>0.028079710144927536</c:v>
                </c:pt>
                <c:pt idx="26">
                  <c:v>0.02508263659342796</c:v>
                </c:pt>
                <c:pt idx="27">
                  <c:v>0.029721955896452542</c:v>
                </c:pt>
                <c:pt idx="28">
                  <c:v>0.03363858917399583</c:v>
                </c:pt>
                <c:pt idx="29">
                  <c:v>0.030197780993728895</c:v>
                </c:pt>
                <c:pt idx="30">
                  <c:v>0.03421383647798742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Req3!$B$158</c:f>
              <c:strCache>
                <c:ptCount val="1"/>
                <c:pt idx="0">
                  <c:v>Fénofibrate 160mg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Req3!$C$158:$AG$158</c:f>
              <c:numCache>
                <c:ptCount val="31"/>
                <c:pt idx="0">
                  <c:v>0.10614767429252954</c:v>
                </c:pt>
                <c:pt idx="1">
                  <c:v>0.10583557478657467</c:v>
                </c:pt>
                <c:pt idx="2">
                  <c:v>0.10724096253158993</c:v>
                </c:pt>
                <c:pt idx="3">
                  <c:v>0.10848952590959206</c:v>
                </c:pt>
                <c:pt idx="4">
                  <c:v>0.10864559346870421</c:v>
                </c:pt>
                <c:pt idx="5">
                  <c:v>0.10523598058452958</c:v>
                </c:pt>
                <c:pt idx="6">
                  <c:v>0.11050433665274655</c:v>
                </c:pt>
                <c:pt idx="7">
                  <c:v>0.10467732386027236</c:v>
                </c:pt>
                <c:pt idx="8">
                  <c:v>0.10384308156563415</c:v>
                </c:pt>
                <c:pt idx="9">
                  <c:v>0.10494645588985212</c:v>
                </c:pt>
                <c:pt idx="10">
                  <c:v>0.10197651102835864</c:v>
                </c:pt>
                <c:pt idx="11">
                  <c:v>0.10328731750918661</c:v>
                </c:pt>
                <c:pt idx="12">
                  <c:v>0.10236860831554336</c:v>
                </c:pt>
                <c:pt idx="13">
                  <c:v>0.10085604644297944</c:v>
                </c:pt>
                <c:pt idx="14">
                  <c:v>0.09802566633761106</c:v>
                </c:pt>
                <c:pt idx="15">
                  <c:v>0.09907516725698544</c:v>
                </c:pt>
                <c:pt idx="16">
                  <c:v>0.10001906941266209</c:v>
                </c:pt>
                <c:pt idx="17">
                  <c:v>0.0960714950660957</c:v>
                </c:pt>
                <c:pt idx="18">
                  <c:v>0.0988860660543287</c:v>
                </c:pt>
                <c:pt idx="19">
                  <c:v>0.09475886807493025</c:v>
                </c:pt>
                <c:pt idx="20">
                  <c:v>0.09629431676465348</c:v>
                </c:pt>
                <c:pt idx="21">
                  <c:v>0.09132878362103573</c:v>
                </c:pt>
                <c:pt idx="22">
                  <c:v>0.08641102668315957</c:v>
                </c:pt>
                <c:pt idx="23">
                  <c:v>0.0835490493617781</c:v>
                </c:pt>
                <c:pt idx="24">
                  <c:v>0.07398910238026957</c:v>
                </c:pt>
                <c:pt idx="25">
                  <c:v>0.07065217391304347</c:v>
                </c:pt>
                <c:pt idx="26">
                  <c:v>0.07174800699980556</c:v>
                </c:pt>
                <c:pt idx="27">
                  <c:v>0.06571951538394491</c:v>
                </c:pt>
                <c:pt idx="28">
                  <c:v>0.06174630519539396</c:v>
                </c:pt>
                <c:pt idx="29">
                  <c:v>0.06174626145682586</c:v>
                </c:pt>
                <c:pt idx="30">
                  <c:v>0.05836477987421384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Req3!$B$159</c:f>
              <c:strCache>
                <c:ptCount val="1"/>
                <c:pt idx="0">
                  <c:v>Fénofibrate 200mg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Req3!$C$159:$AG$159</c:f>
              <c:numCache>
                <c:ptCount val="31"/>
                <c:pt idx="0">
                  <c:v>0.0729697495391955</c:v>
                </c:pt>
                <c:pt idx="1">
                  <c:v>0.07157057654075547</c:v>
                </c:pt>
                <c:pt idx="2">
                  <c:v>0.07164047906823426</c:v>
                </c:pt>
                <c:pt idx="3">
                  <c:v>0.06923925027563396</c:v>
                </c:pt>
                <c:pt idx="4">
                  <c:v>0.0708603726187984</c:v>
                </c:pt>
                <c:pt idx="5">
                  <c:v>0.06867706289373128</c:v>
                </c:pt>
                <c:pt idx="6">
                  <c:v>0.06831566548881036</c:v>
                </c:pt>
                <c:pt idx="7">
                  <c:v>0.07057430432208407</c:v>
                </c:pt>
                <c:pt idx="8">
                  <c:v>0.07038253306115204</c:v>
                </c:pt>
                <c:pt idx="9">
                  <c:v>0.06568077511473738</c:v>
                </c:pt>
                <c:pt idx="10">
                  <c:v>0.06788885706101404</c:v>
                </c:pt>
                <c:pt idx="11">
                  <c:v>0.06475320289999006</c:v>
                </c:pt>
                <c:pt idx="12">
                  <c:v>0.0677035681610247</c:v>
                </c:pt>
                <c:pt idx="13">
                  <c:v>0.06257994686608286</c:v>
                </c:pt>
                <c:pt idx="14">
                  <c:v>0.0665350444225074</c:v>
                </c:pt>
                <c:pt idx="15">
                  <c:v>0.06562377016922472</c:v>
                </c:pt>
                <c:pt idx="16">
                  <c:v>0.06188024408848208</c:v>
                </c:pt>
                <c:pt idx="17">
                  <c:v>0.06227890523180041</c:v>
                </c:pt>
                <c:pt idx="18">
                  <c:v>0.06429548563611491</c:v>
                </c:pt>
                <c:pt idx="19">
                  <c:v>0.06058190514149064</c:v>
                </c:pt>
                <c:pt idx="20">
                  <c:v>0.062444325672545875</c:v>
                </c:pt>
                <c:pt idx="21">
                  <c:v>0.05871136089923725</c:v>
                </c:pt>
                <c:pt idx="22">
                  <c:v>0.05981622194734052</c:v>
                </c:pt>
                <c:pt idx="23">
                  <c:v>0.059269838436133176</c:v>
                </c:pt>
                <c:pt idx="24">
                  <c:v>0.05410572603001625</c:v>
                </c:pt>
                <c:pt idx="25">
                  <c:v>0.05416666666666667</c:v>
                </c:pt>
                <c:pt idx="26">
                  <c:v>0.05697063970445265</c:v>
                </c:pt>
                <c:pt idx="27">
                  <c:v>0.05098927917719864</c:v>
                </c:pt>
                <c:pt idx="28">
                  <c:v>0.05358600054402031</c:v>
                </c:pt>
                <c:pt idx="29">
                  <c:v>0.053835021707670044</c:v>
                </c:pt>
                <c:pt idx="30">
                  <c:v>0.0529979035639413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Req3!$B$160</c:f>
              <c:strCache>
                <c:ptCount val="1"/>
                <c:pt idx="0">
                  <c:v>Fénofibrate 300mg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Req3!$C$160:$AG$160</c:f>
              <c:numCache>
                <c:ptCount val="31"/>
                <c:pt idx="0">
                  <c:v>0.022660739455708553</c:v>
                </c:pt>
                <c:pt idx="1">
                  <c:v>0.021284060343819435</c:v>
                </c:pt>
                <c:pt idx="2">
                  <c:v>0.021426216899241842</c:v>
                </c:pt>
                <c:pt idx="3">
                  <c:v>0.020066152149944873</c:v>
                </c:pt>
                <c:pt idx="4">
                  <c:v>0.021980322378061544</c:v>
                </c:pt>
                <c:pt idx="5">
                  <c:v>0.020758029536300734</c:v>
                </c:pt>
                <c:pt idx="6">
                  <c:v>0.022058036192311812</c:v>
                </c:pt>
                <c:pt idx="7">
                  <c:v>0.020959147424511545</c:v>
                </c:pt>
                <c:pt idx="8">
                  <c:v>0.02041359723085116</c:v>
                </c:pt>
                <c:pt idx="9">
                  <c:v>0.019071902090770015</c:v>
                </c:pt>
                <c:pt idx="10">
                  <c:v>0.01909672491167765</c:v>
                </c:pt>
                <c:pt idx="11">
                  <c:v>0.019167742576224053</c:v>
                </c:pt>
                <c:pt idx="12">
                  <c:v>0.01982311680390363</c:v>
                </c:pt>
                <c:pt idx="13">
                  <c:v>0.021056774574436683</c:v>
                </c:pt>
                <c:pt idx="14">
                  <c:v>0.018854886475814413</c:v>
                </c:pt>
                <c:pt idx="15">
                  <c:v>0.01702085792994884</c:v>
                </c:pt>
                <c:pt idx="16">
                  <c:v>0.01897406559877956</c:v>
                </c:pt>
                <c:pt idx="17">
                  <c:v>0.017035933718115806</c:v>
                </c:pt>
                <c:pt idx="18">
                  <c:v>0.017686144225131914</c:v>
                </c:pt>
                <c:pt idx="19">
                  <c:v>0.017437225986448784</c:v>
                </c:pt>
                <c:pt idx="20">
                  <c:v>0.017370390165686797</c:v>
                </c:pt>
                <c:pt idx="21">
                  <c:v>0.015957446808510637</c:v>
                </c:pt>
                <c:pt idx="22">
                  <c:v>0.01652235377275137</c:v>
                </c:pt>
                <c:pt idx="23">
                  <c:v>0.014281888779791127</c:v>
                </c:pt>
                <c:pt idx="24">
                  <c:v>0.015772870662460567</c:v>
                </c:pt>
                <c:pt idx="25">
                  <c:v>0.014221014492753623</c:v>
                </c:pt>
                <c:pt idx="26">
                  <c:v>0.014971806338712814</c:v>
                </c:pt>
                <c:pt idx="27">
                  <c:v>0.01507888085069293</c:v>
                </c:pt>
                <c:pt idx="28">
                  <c:v>0.013056487442197843</c:v>
                </c:pt>
                <c:pt idx="29">
                  <c:v>0.014857694163048722</c:v>
                </c:pt>
                <c:pt idx="30">
                  <c:v>0.012914046121593291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Req3!$B$161</c:f>
              <c:strCache>
                <c:ptCount val="1"/>
                <c:pt idx="0">
                  <c:v>CADUET® (=TAHOR® 10mg)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Req3!$C$161:$AG$161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0.00025157232704402514</c:v>
                </c:pt>
              </c:numCache>
            </c:numRef>
          </c:val>
          <c:smooth val="0"/>
        </c:ser>
        <c:marker val="1"/>
        <c:axId val="34997006"/>
        <c:axId val="46537599"/>
      </c:lineChart>
      <c:dateAx>
        <c:axId val="34997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3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37599"/>
        <c:crosses val="autoZero"/>
        <c:auto val="0"/>
        <c:noMultiLvlLbl val="0"/>
      </c:dateAx>
      <c:valAx>
        <c:axId val="46537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Nbre boites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970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"/>
          <c:w val="0.175"/>
          <c:h val="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Nombre de patient (mensuels) - Total panier 11 hypolipémiants 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- 162 médecins visités au 16/01/2007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8"/>
          <c:w val="0.743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Req2!$B$108</c:f>
              <c:strCache>
                <c:ptCount val="1"/>
                <c:pt idx="0">
                  <c:v>Total panier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Req2!$C$108:$AG$108</c:f>
              <c:numCache>
                <c:ptCount val="31"/>
                <c:pt idx="0">
                  <c:v>8449</c:v>
                </c:pt>
                <c:pt idx="1">
                  <c:v>7956</c:v>
                </c:pt>
                <c:pt idx="2">
                  <c:v>8373</c:v>
                </c:pt>
                <c:pt idx="3">
                  <c:v>8457</c:v>
                </c:pt>
                <c:pt idx="4">
                  <c:v>8783</c:v>
                </c:pt>
                <c:pt idx="5">
                  <c:v>8944</c:v>
                </c:pt>
                <c:pt idx="6">
                  <c:v>8777</c:v>
                </c:pt>
                <c:pt idx="7">
                  <c:v>8159</c:v>
                </c:pt>
                <c:pt idx="8">
                  <c:v>9798</c:v>
                </c:pt>
                <c:pt idx="9">
                  <c:v>9223</c:v>
                </c:pt>
                <c:pt idx="10">
                  <c:v>9592</c:v>
                </c:pt>
                <c:pt idx="11">
                  <c:v>9403</c:v>
                </c:pt>
                <c:pt idx="12">
                  <c:v>9207</c:v>
                </c:pt>
                <c:pt idx="13">
                  <c:v>9214</c:v>
                </c:pt>
                <c:pt idx="14">
                  <c:v>9373</c:v>
                </c:pt>
                <c:pt idx="15">
                  <c:v>9476</c:v>
                </c:pt>
                <c:pt idx="16">
                  <c:v>9706</c:v>
                </c:pt>
                <c:pt idx="17">
                  <c:v>9892</c:v>
                </c:pt>
                <c:pt idx="18">
                  <c:v>9673</c:v>
                </c:pt>
                <c:pt idx="19">
                  <c:v>9573</c:v>
                </c:pt>
                <c:pt idx="20">
                  <c:v>10249</c:v>
                </c:pt>
                <c:pt idx="21">
                  <c:v>9566</c:v>
                </c:pt>
                <c:pt idx="22">
                  <c:v>10312</c:v>
                </c:pt>
                <c:pt idx="23">
                  <c:v>10302</c:v>
                </c:pt>
                <c:pt idx="24">
                  <c:v>9838</c:v>
                </c:pt>
                <c:pt idx="25">
                  <c:v>10085</c:v>
                </c:pt>
                <c:pt idx="26">
                  <c:v>9733</c:v>
                </c:pt>
                <c:pt idx="27">
                  <c:v>10534</c:v>
                </c:pt>
                <c:pt idx="28">
                  <c:v>10353</c:v>
                </c:pt>
                <c:pt idx="29">
                  <c:v>9884</c:v>
                </c:pt>
                <c:pt idx="30">
                  <c:v>10814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Req2!$B$109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Req2!$C$109:$AG$109</c:f>
              <c:numCache>
                <c:ptCount val="31"/>
                <c:pt idx="0">
                  <c:v>3866</c:v>
                </c:pt>
                <c:pt idx="1">
                  <c:v>3581</c:v>
                </c:pt>
                <c:pt idx="2">
                  <c:v>3795</c:v>
                </c:pt>
                <c:pt idx="3">
                  <c:v>3807</c:v>
                </c:pt>
                <c:pt idx="4">
                  <c:v>3905</c:v>
                </c:pt>
                <c:pt idx="5">
                  <c:v>3958</c:v>
                </c:pt>
                <c:pt idx="6">
                  <c:v>3844</c:v>
                </c:pt>
                <c:pt idx="7">
                  <c:v>3528</c:v>
                </c:pt>
                <c:pt idx="8">
                  <c:v>4182</c:v>
                </c:pt>
                <c:pt idx="9">
                  <c:v>3869</c:v>
                </c:pt>
                <c:pt idx="10">
                  <c:v>4066</c:v>
                </c:pt>
                <c:pt idx="11">
                  <c:v>4002</c:v>
                </c:pt>
                <c:pt idx="12">
                  <c:v>3856</c:v>
                </c:pt>
                <c:pt idx="13">
                  <c:v>3872</c:v>
                </c:pt>
                <c:pt idx="14">
                  <c:v>3967</c:v>
                </c:pt>
                <c:pt idx="15">
                  <c:v>3948</c:v>
                </c:pt>
                <c:pt idx="16">
                  <c:v>3974</c:v>
                </c:pt>
                <c:pt idx="17">
                  <c:v>4089</c:v>
                </c:pt>
                <c:pt idx="18">
                  <c:v>3944</c:v>
                </c:pt>
                <c:pt idx="19">
                  <c:v>3815</c:v>
                </c:pt>
                <c:pt idx="20">
                  <c:v>4069</c:v>
                </c:pt>
                <c:pt idx="21">
                  <c:v>3680</c:v>
                </c:pt>
                <c:pt idx="22">
                  <c:v>3943</c:v>
                </c:pt>
                <c:pt idx="23">
                  <c:v>3900</c:v>
                </c:pt>
                <c:pt idx="24">
                  <c:v>3691</c:v>
                </c:pt>
                <c:pt idx="25">
                  <c:v>3831</c:v>
                </c:pt>
                <c:pt idx="26">
                  <c:v>3598</c:v>
                </c:pt>
                <c:pt idx="27">
                  <c:v>3991</c:v>
                </c:pt>
                <c:pt idx="28">
                  <c:v>3916</c:v>
                </c:pt>
                <c:pt idx="29">
                  <c:v>3689</c:v>
                </c:pt>
                <c:pt idx="30">
                  <c:v>4120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Req2!$B$110</c:f>
              <c:strCache>
                <c:ptCount val="1"/>
                <c:pt idx="0">
                  <c:v>Statines "stricto sensu"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Req2!$C$110:$AG$110</c:f>
              <c:numCache>
                <c:ptCount val="31"/>
                <c:pt idx="0">
                  <c:v>6567</c:v>
                </c:pt>
                <c:pt idx="1">
                  <c:v>6205</c:v>
                </c:pt>
                <c:pt idx="2">
                  <c:v>6502</c:v>
                </c:pt>
                <c:pt idx="3">
                  <c:v>6600</c:v>
                </c:pt>
                <c:pt idx="4">
                  <c:v>6837</c:v>
                </c:pt>
                <c:pt idx="5">
                  <c:v>7009</c:v>
                </c:pt>
                <c:pt idx="6">
                  <c:v>6857</c:v>
                </c:pt>
                <c:pt idx="7">
                  <c:v>6379</c:v>
                </c:pt>
                <c:pt idx="8">
                  <c:v>7576</c:v>
                </c:pt>
                <c:pt idx="9">
                  <c:v>7130</c:v>
                </c:pt>
                <c:pt idx="10">
                  <c:v>7402</c:v>
                </c:pt>
                <c:pt idx="11">
                  <c:v>7218</c:v>
                </c:pt>
                <c:pt idx="12">
                  <c:v>7023</c:v>
                </c:pt>
                <c:pt idx="13">
                  <c:v>7091</c:v>
                </c:pt>
                <c:pt idx="14">
                  <c:v>7203</c:v>
                </c:pt>
                <c:pt idx="15">
                  <c:v>7278</c:v>
                </c:pt>
                <c:pt idx="16">
                  <c:v>7465</c:v>
                </c:pt>
                <c:pt idx="17">
                  <c:v>7637</c:v>
                </c:pt>
                <c:pt idx="18">
                  <c:v>7422</c:v>
                </c:pt>
                <c:pt idx="19">
                  <c:v>7367</c:v>
                </c:pt>
                <c:pt idx="20">
                  <c:v>7868</c:v>
                </c:pt>
                <c:pt idx="21">
                  <c:v>7328</c:v>
                </c:pt>
                <c:pt idx="22">
                  <c:v>7869</c:v>
                </c:pt>
                <c:pt idx="23">
                  <c:v>7855</c:v>
                </c:pt>
                <c:pt idx="24">
                  <c:v>7495</c:v>
                </c:pt>
                <c:pt idx="25">
                  <c:v>7728</c:v>
                </c:pt>
                <c:pt idx="26">
                  <c:v>7444</c:v>
                </c:pt>
                <c:pt idx="27">
                  <c:v>8058</c:v>
                </c:pt>
                <c:pt idx="28">
                  <c:v>7887</c:v>
                </c:pt>
                <c:pt idx="29">
                  <c:v>7543</c:v>
                </c:pt>
                <c:pt idx="30">
                  <c:v>8222</c:v>
                </c:pt>
              </c:numCache>
            </c:numRef>
          </c:val>
          <c:smooth val="0"/>
        </c:ser>
        <c:marker val="1"/>
        <c:axId val="19077182"/>
        <c:axId val="37476911"/>
      </c:lineChart>
      <c:dateAx>
        <c:axId val="19077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76911"/>
        <c:crosses val="autoZero"/>
        <c:auto val="0"/>
        <c:noMultiLvlLbl val="0"/>
      </c:dateAx>
      <c:valAx>
        <c:axId val="374769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Nombre de patients (mensuel)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190771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4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Cumuls annuels des montants remboursés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- 162 médecins visités au 16/01/2007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0025"/>
          <c:w val="0.7537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Req1!$B$97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Req1!$C$97:$V$97</c:f>
              <c:numCache>
                <c:ptCount val="20"/>
                <c:pt idx="0">
                  <c:v>420440.553</c:v>
                </c:pt>
                <c:pt idx="1">
                  <c:v>415794.547</c:v>
                </c:pt>
                <c:pt idx="2">
                  <c:v>415190.9925</c:v>
                </c:pt>
                <c:pt idx="3">
                  <c:v>411687.54150000005</c:v>
                </c:pt>
                <c:pt idx="4">
                  <c:v>408753.6</c:v>
                </c:pt>
                <c:pt idx="5">
                  <c:v>405688.17850000004</c:v>
                </c:pt>
                <c:pt idx="6">
                  <c:v>402099.89950000006</c:v>
                </c:pt>
                <c:pt idx="7">
                  <c:v>397551.91000000003</c:v>
                </c:pt>
                <c:pt idx="8">
                  <c:v>395687.0755</c:v>
                </c:pt>
                <c:pt idx="9">
                  <c:v>386069.853</c:v>
                </c:pt>
                <c:pt idx="10">
                  <c:v>377503.6355</c:v>
                </c:pt>
                <c:pt idx="11">
                  <c:v>371837.57</c:v>
                </c:pt>
                <c:pt idx="12">
                  <c:v>368924.09</c:v>
                </c:pt>
                <c:pt idx="13">
                  <c:v>366631.29850000003</c:v>
                </c:pt>
                <c:pt idx="14">
                  <c:v>362998.0185</c:v>
                </c:pt>
                <c:pt idx="15">
                  <c:v>358897.32550000004</c:v>
                </c:pt>
                <c:pt idx="16">
                  <c:v>358873.4305</c:v>
                </c:pt>
                <c:pt idx="17">
                  <c:v>355448.9445</c:v>
                </c:pt>
                <c:pt idx="18">
                  <c:v>350002.642</c:v>
                </c:pt>
                <c:pt idx="19">
                  <c:v>350028.9545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Req1!$B$98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Req1!$C$98:$V$98</c:f>
              <c:numCache>
                <c:ptCount val="20"/>
                <c:pt idx="0">
                  <c:v>693192.794</c:v>
                </c:pt>
                <c:pt idx="1">
                  <c:v>691612.308</c:v>
                </c:pt>
                <c:pt idx="2">
                  <c:v>696985.622</c:v>
                </c:pt>
                <c:pt idx="3">
                  <c:v>699655.9115</c:v>
                </c:pt>
                <c:pt idx="4">
                  <c:v>701251.1265</c:v>
                </c:pt>
                <c:pt idx="5">
                  <c:v>699695.36</c:v>
                </c:pt>
                <c:pt idx="6">
                  <c:v>701481.9555</c:v>
                </c:pt>
                <c:pt idx="7">
                  <c:v>703058.128</c:v>
                </c:pt>
                <c:pt idx="8">
                  <c:v>706551.28</c:v>
                </c:pt>
                <c:pt idx="9">
                  <c:v>700136.2895</c:v>
                </c:pt>
                <c:pt idx="10">
                  <c:v>695460.255</c:v>
                </c:pt>
                <c:pt idx="11">
                  <c:v>692458.268</c:v>
                </c:pt>
                <c:pt idx="12">
                  <c:v>689444.371</c:v>
                </c:pt>
                <c:pt idx="13">
                  <c:v>683086.4565</c:v>
                </c:pt>
                <c:pt idx="14">
                  <c:v>675532.7875000001</c:v>
                </c:pt>
                <c:pt idx="15">
                  <c:v>657276.196</c:v>
                </c:pt>
                <c:pt idx="16">
                  <c:v>645212.1162</c:v>
                </c:pt>
                <c:pt idx="17">
                  <c:v>629933.1527</c:v>
                </c:pt>
                <c:pt idx="18">
                  <c:v>606659.3477</c:v>
                </c:pt>
                <c:pt idx="19">
                  <c:v>594169.242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Req1!$B$99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Req1!$C$99:$V$99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232.712</c:v>
                </c:pt>
                <c:pt idx="13">
                  <c:v>881.856</c:v>
                </c:pt>
                <c:pt idx="14">
                  <c:v>1681.038</c:v>
                </c:pt>
                <c:pt idx="15">
                  <c:v>2754.269</c:v>
                </c:pt>
                <c:pt idx="16">
                  <c:v>4666.2833</c:v>
                </c:pt>
                <c:pt idx="17">
                  <c:v>7048.3146</c:v>
                </c:pt>
                <c:pt idx="18">
                  <c:v>9479.3379</c:v>
                </c:pt>
                <c:pt idx="19">
                  <c:v>12731.9159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Req1!$B$100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Req1!$C$100:$V$100</c:f>
              <c:numCache>
                <c:ptCount val="20"/>
                <c:pt idx="0">
                  <c:v>146282.8535</c:v>
                </c:pt>
                <c:pt idx="1">
                  <c:v>148236.64500000002</c:v>
                </c:pt>
                <c:pt idx="2">
                  <c:v>150268.4735</c:v>
                </c:pt>
                <c:pt idx="3">
                  <c:v>151779.7085</c:v>
                </c:pt>
                <c:pt idx="4">
                  <c:v>153695.5775</c:v>
                </c:pt>
                <c:pt idx="5">
                  <c:v>155285.99300000002</c:v>
                </c:pt>
                <c:pt idx="6">
                  <c:v>156727.95799999998</c:v>
                </c:pt>
                <c:pt idx="7">
                  <c:v>157535.11800000002</c:v>
                </c:pt>
                <c:pt idx="8">
                  <c:v>160373.839</c:v>
                </c:pt>
                <c:pt idx="9">
                  <c:v>160244.54249999998</c:v>
                </c:pt>
                <c:pt idx="10">
                  <c:v>159738.201</c:v>
                </c:pt>
                <c:pt idx="11">
                  <c:v>160364.848</c:v>
                </c:pt>
                <c:pt idx="12">
                  <c:v>161356.8695</c:v>
                </c:pt>
                <c:pt idx="13">
                  <c:v>161484.479</c:v>
                </c:pt>
                <c:pt idx="14">
                  <c:v>162263.0927</c:v>
                </c:pt>
                <c:pt idx="15">
                  <c:v>162668.50799999997</c:v>
                </c:pt>
                <c:pt idx="16">
                  <c:v>163694.0643</c:v>
                </c:pt>
                <c:pt idx="17">
                  <c:v>163470.61690000002</c:v>
                </c:pt>
                <c:pt idx="18">
                  <c:v>162334.9264</c:v>
                </c:pt>
                <c:pt idx="19">
                  <c:v>163286.2977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Req1!$B$101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Req1!$C$101:$V$101</c:f>
              <c:numCache>
                <c:ptCount val="20"/>
                <c:pt idx="0">
                  <c:v>685367.0365</c:v>
                </c:pt>
                <c:pt idx="1">
                  <c:v>691208.0385</c:v>
                </c:pt>
                <c:pt idx="2">
                  <c:v>703694.1825000001</c:v>
                </c:pt>
                <c:pt idx="3">
                  <c:v>711561.9845</c:v>
                </c:pt>
                <c:pt idx="4">
                  <c:v>720397.0435000001</c:v>
                </c:pt>
                <c:pt idx="5">
                  <c:v>729080.711</c:v>
                </c:pt>
                <c:pt idx="6">
                  <c:v>737892.126</c:v>
                </c:pt>
                <c:pt idx="7">
                  <c:v>745908.148</c:v>
                </c:pt>
                <c:pt idx="8">
                  <c:v>757442.805</c:v>
                </c:pt>
                <c:pt idx="9">
                  <c:v>758802.4</c:v>
                </c:pt>
                <c:pt idx="10">
                  <c:v>762108.1124999999</c:v>
                </c:pt>
                <c:pt idx="11">
                  <c:v>769966.761</c:v>
                </c:pt>
                <c:pt idx="12">
                  <c:v>780430.8635</c:v>
                </c:pt>
                <c:pt idx="13">
                  <c:v>787172.6114999999</c:v>
                </c:pt>
                <c:pt idx="14">
                  <c:v>795388.6655</c:v>
                </c:pt>
                <c:pt idx="15">
                  <c:v>799054.2714999999</c:v>
                </c:pt>
                <c:pt idx="16">
                  <c:v>807058.4815</c:v>
                </c:pt>
                <c:pt idx="17">
                  <c:v>808501.2819999999</c:v>
                </c:pt>
                <c:pt idx="18">
                  <c:v>799985.0643</c:v>
                </c:pt>
                <c:pt idx="19">
                  <c:v>802410.002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Req1!$B$102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Req1!$C$102:$V$102</c:f>
              <c:numCache>
                <c:ptCount val="20"/>
                <c:pt idx="0">
                  <c:v>90145.5765</c:v>
                </c:pt>
                <c:pt idx="1">
                  <c:v>93658.89</c:v>
                </c:pt>
                <c:pt idx="2">
                  <c:v>98569.098</c:v>
                </c:pt>
                <c:pt idx="3">
                  <c:v>103253.817</c:v>
                </c:pt>
                <c:pt idx="4">
                  <c:v>107920.617</c:v>
                </c:pt>
                <c:pt idx="5">
                  <c:v>112769.24250000001</c:v>
                </c:pt>
                <c:pt idx="6">
                  <c:v>117376.3695</c:v>
                </c:pt>
                <c:pt idx="7">
                  <c:v>120905.583</c:v>
                </c:pt>
                <c:pt idx="8">
                  <c:v>126401.4855</c:v>
                </c:pt>
                <c:pt idx="9">
                  <c:v>131815.4565</c:v>
                </c:pt>
                <c:pt idx="10">
                  <c:v>137409.102</c:v>
                </c:pt>
                <c:pt idx="11">
                  <c:v>144711.666</c:v>
                </c:pt>
                <c:pt idx="12">
                  <c:v>153699.096</c:v>
                </c:pt>
                <c:pt idx="13">
                  <c:v>162549.86179999998</c:v>
                </c:pt>
                <c:pt idx="14">
                  <c:v>171193.8001</c:v>
                </c:pt>
                <c:pt idx="15">
                  <c:v>180392.8799</c:v>
                </c:pt>
                <c:pt idx="16">
                  <c:v>190076.046</c:v>
                </c:pt>
                <c:pt idx="17">
                  <c:v>199665.12410000002</c:v>
                </c:pt>
                <c:pt idx="18">
                  <c:v>207850.8859</c:v>
                </c:pt>
                <c:pt idx="19">
                  <c:v>219840.042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Req1!$B$103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Req1!$C$103:$V$103</c:f>
              <c:numCache>
                <c:ptCount val="20"/>
                <c:pt idx="0">
                  <c:v>29283.1565</c:v>
                </c:pt>
                <c:pt idx="1">
                  <c:v>40127.6005</c:v>
                </c:pt>
                <c:pt idx="2">
                  <c:v>50581.843</c:v>
                </c:pt>
                <c:pt idx="3">
                  <c:v>61588.683</c:v>
                </c:pt>
                <c:pt idx="4">
                  <c:v>72482.748</c:v>
                </c:pt>
                <c:pt idx="5">
                  <c:v>84578.9945</c:v>
                </c:pt>
                <c:pt idx="6">
                  <c:v>97642.8505</c:v>
                </c:pt>
                <c:pt idx="7">
                  <c:v>110975.111</c:v>
                </c:pt>
                <c:pt idx="8">
                  <c:v>123161.5775</c:v>
                </c:pt>
                <c:pt idx="9">
                  <c:v>133153.4425</c:v>
                </c:pt>
                <c:pt idx="10">
                  <c:v>140855.975</c:v>
                </c:pt>
                <c:pt idx="11">
                  <c:v>148100.641</c:v>
                </c:pt>
                <c:pt idx="12">
                  <c:v>153816.078</c:v>
                </c:pt>
                <c:pt idx="13">
                  <c:v>157515.098</c:v>
                </c:pt>
                <c:pt idx="14">
                  <c:v>161965.1995</c:v>
                </c:pt>
                <c:pt idx="15">
                  <c:v>164180.1005</c:v>
                </c:pt>
                <c:pt idx="16">
                  <c:v>169115.1345</c:v>
                </c:pt>
                <c:pt idx="17">
                  <c:v>173019.405</c:v>
                </c:pt>
                <c:pt idx="18">
                  <c:v>174641.1095</c:v>
                </c:pt>
                <c:pt idx="19">
                  <c:v>177825.8755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Req1!$B$104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Req1!$C$104:$V$104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296.399</c:v>
                </c:pt>
                <c:pt idx="8">
                  <c:v>1351.972</c:v>
                </c:pt>
                <c:pt idx="9">
                  <c:v>3584.598</c:v>
                </c:pt>
                <c:pt idx="10">
                  <c:v>6598.884</c:v>
                </c:pt>
                <c:pt idx="11">
                  <c:v>11506.220000000001</c:v>
                </c:pt>
                <c:pt idx="12">
                  <c:v>16929.914</c:v>
                </c:pt>
                <c:pt idx="13">
                  <c:v>23291.396999999997</c:v>
                </c:pt>
                <c:pt idx="14">
                  <c:v>30168.344</c:v>
                </c:pt>
                <c:pt idx="15">
                  <c:v>37528.25</c:v>
                </c:pt>
                <c:pt idx="16">
                  <c:v>47407.335</c:v>
                </c:pt>
                <c:pt idx="17">
                  <c:v>56498.959</c:v>
                </c:pt>
                <c:pt idx="18">
                  <c:v>66013.17300000001</c:v>
                </c:pt>
                <c:pt idx="19">
                  <c:v>77007.496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Req1!$B$105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Req1!$C$105:$V$105</c:f>
              <c:numCache>
                <c:ptCount val="20"/>
                <c:pt idx="0">
                  <c:v>2490.384</c:v>
                </c:pt>
                <c:pt idx="1">
                  <c:v>2514.944</c:v>
                </c:pt>
                <c:pt idx="2">
                  <c:v>2487.314</c:v>
                </c:pt>
                <c:pt idx="3">
                  <c:v>2532.75</c:v>
                </c:pt>
                <c:pt idx="4">
                  <c:v>2597.22</c:v>
                </c:pt>
                <c:pt idx="5">
                  <c:v>2658.006</c:v>
                </c:pt>
                <c:pt idx="6">
                  <c:v>2702.828</c:v>
                </c:pt>
                <c:pt idx="7">
                  <c:v>2710.196</c:v>
                </c:pt>
                <c:pt idx="8">
                  <c:v>2702.214</c:v>
                </c:pt>
                <c:pt idx="9">
                  <c:v>2686.25</c:v>
                </c:pt>
                <c:pt idx="10">
                  <c:v>2694.232</c:v>
                </c:pt>
                <c:pt idx="11">
                  <c:v>2710.196</c:v>
                </c:pt>
                <c:pt idx="12">
                  <c:v>2681.338</c:v>
                </c:pt>
                <c:pt idx="13">
                  <c:v>2664.76</c:v>
                </c:pt>
                <c:pt idx="14">
                  <c:v>2535.206</c:v>
                </c:pt>
                <c:pt idx="15">
                  <c:v>2368.198</c:v>
                </c:pt>
                <c:pt idx="16">
                  <c:v>2275.484</c:v>
                </c:pt>
                <c:pt idx="17">
                  <c:v>2210.4</c:v>
                </c:pt>
                <c:pt idx="18">
                  <c:v>2072.864</c:v>
                </c:pt>
                <c:pt idx="19">
                  <c:v>2056.286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Req1!$B$106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Req1!$C$106:$V$106</c:f>
              <c:numCache>
                <c:ptCount val="20"/>
                <c:pt idx="0">
                  <c:v>199279.08299999998</c:v>
                </c:pt>
                <c:pt idx="1">
                  <c:v>199350.462</c:v>
                </c:pt>
                <c:pt idx="2">
                  <c:v>200538.0755</c:v>
                </c:pt>
                <c:pt idx="3">
                  <c:v>200553.73150000002</c:v>
                </c:pt>
                <c:pt idx="4">
                  <c:v>200888.832</c:v>
                </c:pt>
                <c:pt idx="5">
                  <c:v>200749.982</c:v>
                </c:pt>
                <c:pt idx="6">
                  <c:v>200541.57</c:v>
                </c:pt>
                <c:pt idx="7">
                  <c:v>200324.75149999998</c:v>
                </c:pt>
                <c:pt idx="8">
                  <c:v>201113.916</c:v>
                </c:pt>
                <c:pt idx="9">
                  <c:v>199285.78650000002</c:v>
                </c:pt>
                <c:pt idx="10">
                  <c:v>197950.3195</c:v>
                </c:pt>
                <c:pt idx="11">
                  <c:v>197319.57249999998</c:v>
                </c:pt>
                <c:pt idx="12">
                  <c:v>196702.31299999997</c:v>
                </c:pt>
                <c:pt idx="13">
                  <c:v>194120.34649999999</c:v>
                </c:pt>
                <c:pt idx="14">
                  <c:v>192052.22149999999</c:v>
                </c:pt>
                <c:pt idx="15">
                  <c:v>189142.75950000001</c:v>
                </c:pt>
                <c:pt idx="16">
                  <c:v>186407.4715</c:v>
                </c:pt>
                <c:pt idx="17">
                  <c:v>182275.37850000002</c:v>
                </c:pt>
                <c:pt idx="18">
                  <c:v>177361.6705</c:v>
                </c:pt>
                <c:pt idx="19">
                  <c:v>174313.084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Req1!$B$107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Req1!$C$107:$V$107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88.457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Req1!$B$109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Req1!$C$96:$V$96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Req1!$C$109:$V$109</c:f>
              <c:numCache>
                <c:ptCount val="20"/>
                <c:pt idx="0">
                  <c:v>1113633.347</c:v>
                </c:pt>
                <c:pt idx="1">
                  <c:v>1107406.855</c:v>
                </c:pt>
                <c:pt idx="2">
                  <c:v>1112176.6145</c:v>
                </c:pt>
                <c:pt idx="3">
                  <c:v>1111343.4530000002</c:v>
                </c:pt>
                <c:pt idx="4">
                  <c:v>1110004.7264999999</c:v>
                </c:pt>
                <c:pt idx="5">
                  <c:v>1105383.5385</c:v>
                </c:pt>
                <c:pt idx="6">
                  <c:v>1103581.855</c:v>
                </c:pt>
                <c:pt idx="7">
                  <c:v>1100610.0380000002</c:v>
                </c:pt>
                <c:pt idx="8">
                  <c:v>1102238.3555</c:v>
                </c:pt>
                <c:pt idx="9">
                  <c:v>1086206.1425</c:v>
                </c:pt>
                <c:pt idx="10">
                  <c:v>1072963.8905</c:v>
                </c:pt>
                <c:pt idx="11">
                  <c:v>1064295.838</c:v>
                </c:pt>
                <c:pt idx="12">
                  <c:v>1058601.1730000002</c:v>
                </c:pt>
                <c:pt idx="13">
                  <c:v>1050599.6109999998</c:v>
                </c:pt>
                <c:pt idx="14">
                  <c:v>1040211.844</c:v>
                </c:pt>
                <c:pt idx="15">
                  <c:v>1018927.7905</c:v>
                </c:pt>
                <c:pt idx="16">
                  <c:v>1008751.8300000001</c:v>
                </c:pt>
                <c:pt idx="17">
                  <c:v>992430.4118</c:v>
                </c:pt>
                <c:pt idx="18">
                  <c:v>966141.3276000001</c:v>
                </c:pt>
                <c:pt idx="19">
                  <c:v>956930.1124</c:v>
                </c:pt>
              </c:numCache>
            </c:numRef>
          </c:val>
          <c:smooth val="0"/>
        </c:ser>
        <c:marker val="1"/>
        <c:axId val="1747880"/>
        <c:axId val="15730921"/>
      </c:lineChart>
      <c:dateAx>
        <c:axId val="174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30921"/>
        <c:crosses val="autoZero"/>
        <c:auto val="0"/>
        <c:noMultiLvlLbl val="0"/>
      </c:dateAx>
      <c:valAx>
        <c:axId val="15730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Montant cumulé annuel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7478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347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% Cumuls annuels des montants remboursés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- 162 médecins visités au 16/01/2007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995"/>
          <c:w val="0.7535"/>
          <c:h val="0.7405"/>
        </c:manualLayout>
      </c:layout>
      <c:lineChart>
        <c:grouping val="standard"/>
        <c:varyColors val="0"/>
        <c:ser>
          <c:idx val="0"/>
          <c:order val="0"/>
          <c:tx>
            <c:strRef>
              <c:f>Req1!$B$115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Req1!$C$115:$V$115</c:f>
              <c:numCache>
                <c:ptCount val="20"/>
                <c:pt idx="0">
                  <c:v>0.1855036384310788</c:v>
                </c:pt>
                <c:pt idx="1">
                  <c:v>0.18216601150481954</c:v>
                </c:pt>
                <c:pt idx="2">
                  <c:v>0.1790916613427906</c:v>
                </c:pt>
                <c:pt idx="3">
                  <c:v>0.17573852076925117</c:v>
                </c:pt>
                <c:pt idx="4">
                  <c:v>0.1726165053487147</c:v>
                </c:pt>
                <c:pt idx="5">
                  <c:v>0.16970804472420864</c:v>
                </c:pt>
                <c:pt idx="6">
                  <c:v>0.16640001275217844</c:v>
                </c:pt>
                <c:pt idx="7">
                  <c:v>0.1629801820849015</c:v>
                </c:pt>
                <c:pt idx="8">
                  <c:v>0.15988737983749945</c:v>
                </c:pt>
                <c:pt idx="9">
                  <c:v>0.1559387620989748</c:v>
                </c:pt>
                <c:pt idx="10">
                  <c:v>0.15219964796810417</c:v>
                </c:pt>
                <c:pt idx="11">
                  <c:v>0.14879599016355796</c:v>
                </c:pt>
                <c:pt idx="12">
                  <c:v>0.1461538353203295</c:v>
                </c:pt>
                <c:pt idx="13">
                  <c:v>0.1443772400807715</c:v>
                </c:pt>
                <c:pt idx="14">
                  <c:v>0.14203031933136673</c:v>
                </c:pt>
                <c:pt idx="15">
                  <c:v>0.1405091642940718</c:v>
                </c:pt>
                <c:pt idx="16">
                  <c:v>0.13937991423481516</c:v>
                </c:pt>
                <c:pt idx="17">
                  <c:v>0.13787396270520144</c:v>
                </c:pt>
                <c:pt idx="18">
                  <c:v>0.1369122602821154</c:v>
                </c:pt>
                <c:pt idx="19">
                  <c:v>0.13599918941334752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Req1!$B$116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Req1!$C$116:$V$116</c:f>
              <c:numCache>
                <c:ptCount val="20"/>
                <c:pt idx="0">
                  <c:v>0.30584534366076077</c:v>
                </c:pt>
                <c:pt idx="1">
                  <c:v>0.30300603162071477</c:v>
                </c:pt>
                <c:pt idx="2">
                  <c:v>0.30064311420729645</c:v>
                </c:pt>
                <c:pt idx="3">
                  <c:v>0.29866460006653395</c:v>
                </c:pt>
                <c:pt idx="4">
                  <c:v>0.2961381106570792</c:v>
                </c:pt>
                <c:pt idx="5">
                  <c:v>0.2926975389996513</c:v>
                </c:pt>
                <c:pt idx="6">
                  <c:v>0.29029255288491573</c:v>
                </c:pt>
                <c:pt idx="7">
                  <c:v>0.2882253583380092</c:v>
                </c:pt>
                <c:pt idx="8">
                  <c:v>0.28549993132143997</c:v>
                </c:pt>
                <c:pt idx="9">
                  <c:v>0.28279438406499835</c:v>
                </c:pt>
                <c:pt idx="10">
                  <c:v>0.2803914877445146</c:v>
                </c:pt>
                <c:pt idx="11">
                  <c:v>0.2770968346044279</c:v>
                </c:pt>
                <c:pt idx="12">
                  <c:v>0.2731319038061791</c:v>
                </c:pt>
                <c:pt idx="13">
                  <c:v>0.26899541236527563</c:v>
                </c:pt>
                <c:pt idx="14">
                  <c:v>0.26431587126537803</c:v>
                </c:pt>
                <c:pt idx="15">
                  <c:v>0.2573252082101306</c:v>
                </c:pt>
                <c:pt idx="16">
                  <c:v>0.2505886526453777</c:v>
                </c:pt>
                <c:pt idx="17">
                  <c:v>0.24434277087051462</c:v>
                </c:pt>
                <c:pt idx="18">
                  <c:v>0.23730993012012966</c:v>
                </c:pt>
                <c:pt idx="19">
                  <c:v>0.23085671698723176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Req1!$B$117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Req1!$C$117:$V$117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9.219173333209147E-05</c:v>
                </c:pt>
                <c:pt idx="13">
                  <c:v>0.00034726968469296903</c:v>
                </c:pt>
                <c:pt idx="14">
                  <c:v>0.0006577401301934712</c:v>
                </c:pt>
                <c:pt idx="15">
                  <c:v>0.001078302923801166</c:v>
                </c:pt>
                <c:pt idx="16">
                  <c:v>0.0018122995766033738</c:v>
                </c:pt>
                <c:pt idx="17">
                  <c:v>0.002733948375235439</c:v>
                </c:pt>
                <c:pt idx="18">
                  <c:v>0.0037080793746320385</c:v>
                </c:pt>
                <c:pt idx="19">
                  <c:v>0.004946820026795558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Req1!$B$118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Req1!$C$118:$V$118</c:f>
              <c:numCache>
                <c:ptCount val="20"/>
                <c:pt idx="0">
                  <c:v>0.06454182730639323</c:v>
                </c:pt>
                <c:pt idx="1">
                  <c:v>0.06494476316089313</c:v>
                </c:pt>
                <c:pt idx="2">
                  <c:v>0.0648179537916158</c:v>
                </c:pt>
                <c:pt idx="3">
                  <c:v>0.0647907424096246</c:v>
                </c:pt>
                <c:pt idx="4">
                  <c:v>0.06490558976264074</c:v>
                </c:pt>
                <c:pt idx="5">
                  <c:v>0.06495945320005707</c:v>
                </c:pt>
                <c:pt idx="6">
                  <c:v>0.0648583455063084</c:v>
                </c:pt>
                <c:pt idx="7">
                  <c:v>0.06458301814323178</c:v>
                </c:pt>
                <c:pt idx="8">
                  <c:v>0.0648031095779144</c:v>
                </c:pt>
                <c:pt idx="9">
                  <c:v>0.0647249076725153</c:v>
                </c:pt>
                <c:pt idx="10">
                  <c:v>0.06440228827745492</c:v>
                </c:pt>
                <c:pt idx="11">
                  <c:v>0.0641722307554572</c:v>
                </c:pt>
                <c:pt idx="12">
                  <c:v>0.06392351698341764</c:v>
                </c:pt>
                <c:pt idx="13">
                  <c:v>0.06359163412749744</c:v>
                </c:pt>
                <c:pt idx="14">
                  <c:v>0.06348871811231709</c:v>
                </c:pt>
                <c:pt idx="15">
                  <c:v>0.06368511128970095</c:v>
                </c:pt>
                <c:pt idx="16">
                  <c:v>0.06357579777108163</c:v>
                </c:pt>
                <c:pt idx="17">
                  <c:v>0.06340809864992264</c:v>
                </c:pt>
                <c:pt idx="18">
                  <c:v>0.06350135407307825</c:v>
                </c:pt>
                <c:pt idx="19">
                  <c:v>0.06344276336004241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Req1!$B$119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Req1!$C$119:$V$119</c:f>
              <c:numCache>
                <c:ptCount val="20"/>
                <c:pt idx="0">
                  <c:v>0.30239252142615275</c:v>
                </c:pt>
                <c:pt idx="1">
                  <c:v>0.3028289149102639</c:v>
                </c:pt>
                <c:pt idx="2">
                  <c:v>0.30353683605306514</c:v>
                </c:pt>
                <c:pt idx="3">
                  <c:v>0.30374698766944064</c:v>
                </c:pt>
                <c:pt idx="4">
                  <c:v>0.3042234248518326</c:v>
                </c:pt>
                <c:pt idx="5">
                  <c:v>0.30499006001957196</c:v>
                </c:pt>
                <c:pt idx="6">
                  <c:v>0.30536008421989685</c:v>
                </c:pt>
                <c:pt idx="7">
                  <c:v>0.30579213109465797</c:v>
                </c:pt>
                <c:pt idx="8">
                  <c:v>0.3060639403376622</c:v>
                </c:pt>
                <c:pt idx="9">
                  <c:v>0.3064904084436013</c:v>
                </c:pt>
                <c:pt idx="10">
                  <c:v>0.3072621705550073</c:v>
                </c:pt>
                <c:pt idx="11">
                  <c:v>0.30811293919552724</c:v>
                </c:pt>
                <c:pt idx="12">
                  <c:v>0.309177326703934</c:v>
                </c:pt>
                <c:pt idx="13">
                  <c:v>0.3099839254873199</c:v>
                </c:pt>
                <c:pt idx="14">
                  <c:v>0.3112119085947975</c:v>
                </c:pt>
                <c:pt idx="15">
                  <c:v>0.3128316650386221</c:v>
                </c:pt>
                <c:pt idx="16">
                  <c:v>0.31344683772556453</c:v>
                </c:pt>
                <c:pt idx="17">
                  <c:v>0.31360699567804046</c:v>
                </c:pt>
                <c:pt idx="18">
                  <c:v>0.3129341044952639</c:v>
                </c:pt>
                <c:pt idx="19">
                  <c:v>0.311765950919819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Req1!$B$120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Req1!$C$120:$V$120</c:f>
              <c:numCache>
                <c:ptCount val="20"/>
                <c:pt idx="0">
                  <c:v>0.0397733575172449</c:v>
                </c:pt>
                <c:pt idx="1">
                  <c:v>0.041033405936582966</c:v>
                </c:pt>
                <c:pt idx="2">
                  <c:v>0.04251754936104578</c:v>
                </c:pt>
                <c:pt idx="3">
                  <c:v>0.044076323022174714</c:v>
                </c:pt>
                <c:pt idx="4">
                  <c:v>0.04557483961393145</c:v>
                </c:pt>
                <c:pt idx="5">
                  <c:v>0.04717378682431864</c:v>
                </c:pt>
                <c:pt idx="6">
                  <c:v>0.04857357439256064</c:v>
                </c:pt>
                <c:pt idx="7">
                  <c:v>0.04956639230439409</c:v>
                </c:pt>
                <c:pt idx="8">
                  <c:v>0.051075720122080864</c:v>
                </c:pt>
                <c:pt idx="9">
                  <c:v>0.05324202071825915</c:v>
                </c:pt>
                <c:pt idx="10">
                  <c:v>0.0553997762811302</c:v>
                </c:pt>
                <c:pt idx="11">
                  <c:v>0.057908391641780806</c:v>
                </c:pt>
                <c:pt idx="12">
                  <c:v>0.06088979542015679</c:v>
                </c:pt>
                <c:pt idx="13">
                  <c:v>0.06401117558214911</c:v>
                </c:pt>
                <c:pt idx="14">
                  <c:v>0.06698303807890665</c:v>
                </c:pt>
                <c:pt idx="15">
                  <c:v>0.0706242454274011</c:v>
                </c:pt>
                <c:pt idx="16">
                  <c:v>0.07382207970275688</c:v>
                </c:pt>
                <c:pt idx="17">
                  <c:v>0.07744747114783687</c:v>
                </c:pt>
                <c:pt idx="18">
                  <c:v>0.08130605651316504</c:v>
                </c:pt>
                <c:pt idx="19">
                  <c:v>0.08541598381569394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Req1!$B$121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Req1!$C$121:$V$121</c:f>
              <c:numCache>
                <c:ptCount val="20"/>
                <c:pt idx="0">
                  <c:v>0.012920095449252954</c:v>
                </c:pt>
                <c:pt idx="1">
                  <c:v>0.01758052140675092</c:v>
                </c:pt>
                <c:pt idx="2">
                  <c:v>0.021818359406364538</c:v>
                </c:pt>
                <c:pt idx="3">
                  <c:v>0.026290579518414514</c:v>
                </c:pt>
                <c:pt idx="4">
                  <c:v>0.030609439666908236</c:v>
                </c:pt>
                <c:pt idx="5">
                  <c:v>0.03538120295840613</c:v>
                </c:pt>
                <c:pt idx="6">
                  <c:v>0.040407300744324234</c:v>
                </c:pt>
                <c:pt idx="7">
                  <c:v>0.045495300972575266</c:v>
                </c:pt>
                <c:pt idx="8">
                  <c:v>0.04976655327507185</c:v>
                </c:pt>
                <c:pt idx="9">
                  <c:v>0.05378245110650228</c:v>
                </c:pt>
                <c:pt idx="10">
                  <c:v>0.05678946583073127</c:v>
                </c:pt>
                <c:pt idx="11">
                  <c:v>0.059264537258708505</c:v>
                </c:pt>
                <c:pt idx="12">
                  <c:v>0.0609361392844554</c:v>
                </c:pt>
                <c:pt idx="13">
                  <c:v>0.06202851533225619</c:v>
                </c:pt>
                <c:pt idx="14">
                  <c:v>0.06337216137049938</c:v>
                </c:pt>
                <c:pt idx="15">
                  <c:v>0.06427690338130346</c:v>
                </c:pt>
                <c:pt idx="16">
                  <c:v>0.06568124285372313</c:v>
                </c:pt>
                <c:pt idx="17">
                  <c:v>0.06711194775329019</c:v>
                </c:pt>
                <c:pt idx="18">
                  <c:v>0.0683152244314242</c:v>
                </c:pt>
                <c:pt idx="19">
                  <c:v>0.0690919268643499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Req1!$B$122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Req1!$C$122:$V$122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0.00012151158571916487</c:v>
                </c:pt>
                <c:pt idx="8">
                  <c:v>0.0005462985123295083</c:v>
                </c:pt>
                <c:pt idx="9">
                  <c:v>0.001447866934957133</c:v>
                </c:pt>
                <c:pt idx="10">
                  <c:v>0.002660498409378511</c:v>
                </c:pt>
                <c:pt idx="11">
                  <c:v>0.004604374426015462</c:v>
                </c:pt>
                <c:pt idx="12">
                  <c:v>0.006706994554742524</c:v>
                </c:pt>
                <c:pt idx="13">
                  <c:v>0.009172014583161836</c:v>
                </c:pt>
                <c:pt idx="14">
                  <c:v>0.011803974990619739</c:v>
                </c:pt>
                <c:pt idx="15">
                  <c:v>0.014692399943557114</c:v>
                </c:pt>
                <c:pt idx="16">
                  <c:v>0.018412146803944436</c:v>
                </c:pt>
                <c:pt idx="17">
                  <c:v>0.021915201849892412</c:v>
                </c:pt>
                <c:pt idx="18">
                  <c:v>0.025822698572156248</c:v>
                </c:pt>
                <c:pt idx="19">
                  <c:v>0.02992025916745011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Req1!$B$123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Req1!$C$123:$V$123</c:f>
              <c:numCache>
                <c:ptCount val="20"/>
                <c:pt idx="0">
                  <c:v>0.0010987886154039564</c:v>
                </c:pt>
                <c:pt idx="1">
                  <c:v>0.0011018358007421796</c:v>
                </c:pt>
                <c:pt idx="2">
                  <c:v>0.0010728970632501904</c:v>
                </c:pt>
                <c:pt idx="3">
                  <c:v>0.0010811639741551927</c:v>
                </c:pt>
                <c:pt idx="4">
                  <c:v>0.0010968051168767413</c:v>
                </c:pt>
                <c:pt idx="5">
                  <c:v>0.0011119007775702659</c:v>
                </c:pt>
                <c:pt idx="6">
                  <c:v>0.0011185046656967516</c:v>
                </c:pt>
                <c:pt idx="7">
                  <c:v>0.0011110705959525428</c:v>
                </c:pt>
                <c:pt idx="8">
                  <c:v>0.001091897974363352</c:v>
                </c:pt>
                <c:pt idx="9">
                  <c:v>0.001085012197749538</c:v>
                </c:pt>
                <c:pt idx="10">
                  <c:v>0.001086244272591651</c:v>
                </c:pt>
                <c:pt idx="11">
                  <c:v>0.0010845227322169573</c:v>
                </c:pt>
                <c:pt idx="12">
                  <c:v>0.001062245169433478</c:v>
                </c:pt>
                <c:pt idx="13">
                  <c:v>0.0010493667503338824</c:v>
                </c:pt>
                <c:pt idx="14">
                  <c:v>0.0009919506427024667</c:v>
                </c:pt>
                <c:pt idx="15">
                  <c:v>0.0009271552007229772</c:v>
                </c:pt>
                <c:pt idx="16">
                  <c:v>0.0008837566055553788</c:v>
                </c:pt>
                <c:pt idx="17">
                  <c:v>0.0008573850390589</c:v>
                </c:pt>
                <c:pt idx="18">
                  <c:v>0.0008108524377865321</c:v>
                </c:pt>
                <c:pt idx="19">
                  <c:v>0.0007989431320088542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Req1!$B$124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Req1!$C$124:$V$124</c:f>
              <c:numCache>
                <c:ptCount val="20"/>
                <c:pt idx="0">
                  <c:v>0.0879244275937125</c:v>
                </c:pt>
                <c:pt idx="1">
                  <c:v>0.08733851565923274</c:v>
                </c:pt>
                <c:pt idx="2">
                  <c:v>0.08650162877457167</c:v>
                </c:pt>
                <c:pt idx="3">
                  <c:v>0.08561108257040509</c:v>
                </c:pt>
                <c:pt idx="4">
                  <c:v>0.08483528498201619</c:v>
                </c:pt>
                <c:pt idx="5">
                  <c:v>0.08397801249621592</c:v>
                </c:pt>
                <c:pt idx="6">
                  <c:v>0.08298962483411881</c:v>
                </c:pt>
                <c:pt idx="7">
                  <c:v>0.08212503488055847</c:v>
                </c:pt>
                <c:pt idx="8">
                  <c:v>0.0812651690416382</c:v>
                </c:pt>
                <c:pt idx="9">
                  <c:v>0.08049418676244216</c:v>
                </c:pt>
                <c:pt idx="10">
                  <c:v>0.07980842066108725</c:v>
                </c:pt>
                <c:pt idx="11">
                  <c:v>0.0789601792223079</c:v>
                </c:pt>
                <c:pt idx="12">
                  <c:v>0.07792605102401934</c:v>
                </c:pt>
                <c:pt idx="13">
                  <c:v>0.07644344600654175</c:v>
                </c:pt>
                <c:pt idx="14">
                  <c:v>0.07514431748321891</c:v>
                </c:pt>
                <c:pt idx="15">
                  <c:v>0.07404984429068867</c:v>
                </c:pt>
                <c:pt idx="16">
                  <c:v>0.0723972720805776</c:v>
                </c:pt>
                <c:pt idx="17">
                  <c:v>0.07070221793100719</c:v>
                </c:pt>
                <c:pt idx="18">
                  <c:v>0.06937943970024886</c:v>
                </c:pt>
                <c:pt idx="19">
                  <c:v>0.06772707749850095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Req1!$B$125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Req1!$C$125:$V$125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3.436881476025573E-05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Req1!$B$127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Req1!$C$114:$V$114</c:f>
              <c:strCache>
                <c:ptCount val="20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</c:strCache>
            </c:strRef>
          </c:cat>
          <c:val>
            <c:numRef>
              <c:f>Req1!$C$127:$V$127</c:f>
              <c:numCache>
                <c:ptCount val="20"/>
                <c:pt idx="0">
                  <c:v>0.4913489820918396</c:v>
                </c:pt>
                <c:pt idx="1">
                  <c:v>0.4851720431255343</c:v>
                </c:pt>
                <c:pt idx="2">
                  <c:v>0.479734775550087</c:v>
                </c:pt>
                <c:pt idx="3">
                  <c:v>0.4744031208357852</c:v>
                </c:pt>
                <c:pt idx="4">
                  <c:v>0.4687546160057938</c:v>
                </c:pt>
                <c:pt idx="5">
                  <c:v>0.4624055837238599</c:v>
                </c:pt>
                <c:pt idx="6">
                  <c:v>0.45669256563709415</c:v>
                </c:pt>
                <c:pt idx="7">
                  <c:v>0.4512055404229108</c:v>
                </c:pt>
                <c:pt idx="8">
                  <c:v>0.4453873111589395</c:v>
                </c:pt>
                <c:pt idx="9">
                  <c:v>0.4387331461639732</c:v>
                </c:pt>
                <c:pt idx="10">
                  <c:v>0.43259113571261876</c:v>
                </c:pt>
                <c:pt idx="11">
                  <c:v>0.4258928247679859</c:v>
                </c:pt>
                <c:pt idx="12">
                  <c:v>0.4193779308598407</c:v>
                </c:pt>
                <c:pt idx="13">
                  <c:v>0.41371992213074</c:v>
                </c:pt>
                <c:pt idx="14">
                  <c:v>0.4070039307269382</c:v>
                </c:pt>
                <c:pt idx="15">
                  <c:v>0.39891267542800357</c:v>
                </c:pt>
                <c:pt idx="16">
                  <c:v>0.3917808664567963</c:v>
                </c:pt>
                <c:pt idx="17">
                  <c:v>0.3849506819509515</c:v>
                </c:pt>
                <c:pt idx="18">
                  <c:v>0.3779302697768771</c:v>
                </c:pt>
                <c:pt idx="19">
                  <c:v>0.37180272642737483</c:v>
                </c:pt>
              </c:numCache>
            </c:numRef>
          </c:val>
          <c:smooth val="0"/>
        </c:ser>
        <c:marker val="1"/>
        <c:axId val="7360562"/>
        <c:axId val="66245059"/>
      </c:lineChart>
      <c:dateAx>
        <c:axId val="7360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245059"/>
        <c:crosses val="autoZero"/>
        <c:auto val="0"/>
        <c:noMultiLvlLbl val="0"/>
      </c:dateAx>
      <c:valAx>
        <c:axId val="66245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Montant cumulé annuel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3605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50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% Patients (données mensuelles)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- 162 médecins visités au 16/01/2007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025"/>
          <c:w val="0.75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Req2!$B$115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Req2!$C$115:$AG$115</c:f>
              <c:numCache>
                <c:ptCount val="31"/>
                <c:pt idx="0">
                  <c:v>0.1750503018108652</c:v>
                </c:pt>
                <c:pt idx="1">
                  <c:v>0.1769733534439417</c:v>
                </c:pt>
                <c:pt idx="2">
                  <c:v>0.17448943031171624</c:v>
                </c:pt>
                <c:pt idx="3">
                  <c:v>0.17192857987466004</c:v>
                </c:pt>
                <c:pt idx="4">
                  <c:v>0.17055675737219628</c:v>
                </c:pt>
                <c:pt idx="5">
                  <c:v>0.16994633273703041</c:v>
                </c:pt>
                <c:pt idx="6">
                  <c:v>0.16885040446621852</c:v>
                </c:pt>
                <c:pt idx="7">
                  <c:v>0.16558401764922173</c:v>
                </c:pt>
                <c:pt idx="8">
                  <c:v>0.16595223515003063</c:v>
                </c:pt>
                <c:pt idx="9">
                  <c:v>0.16317900899924104</c:v>
                </c:pt>
                <c:pt idx="10">
                  <c:v>0.16763969974979148</c:v>
                </c:pt>
                <c:pt idx="11">
                  <c:v>0.16962671487823036</c:v>
                </c:pt>
                <c:pt idx="12">
                  <c:v>0.16454871293580972</c:v>
                </c:pt>
                <c:pt idx="13">
                  <c:v>0.17212936835250706</c:v>
                </c:pt>
                <c:pt idx="14">
                  <c:v>0.16696895337672038</c:v>
                </c:pt>
                <c:pt idx="15">
                  <c:v>0.16610384128324188</c:v>
                </c:pt>
                <c:pt idx="16">
                  <c:v>0.1678343292808572</c:v>
                </c:pt>
                <c:pt idx="17">
                  <c:v>0.1655883542256369</c:v>
                </c:pt>
                <c:pt idx="18">
                  <c:v>0.16416830352527653</c:v>
                </c:pt>
                <c:pt idx="19">
                  <c:v>0.1633761621226366</c:v>
                </c:pt>
                <c:pt idx="20">
                  <c:v>0.1624548736462094</c:v>
                </c:pt>
                <c:pt idx="21">
                  <c:v>0.1556554463725695</c:v>
                </c:pt>
                <c:pt idx="22">
                  <c:v>0.15418929402637704</c:v>
                </c:pt>
                <c:pt idx="23">
                  <c:v>0.1580275674626286</c:v>
                </c:pt>
                <c:pt idx="24">
                  <c:v>0.15399471437284</c:v>
                </c:pt>
                <c:pt idx="25">
                  <c:v>0.1549826474962816</c:v>
                </c:pt>
                <c:pt idx="26">
                  <c:v>0.15524504263844652</c:v>
                </c:pt>
                <c:pt idx="27">
                  <c:v>0.15767989367761534</c:v>
                </c:pt>
                <c:pt idx="28">
                  <c:v>0.1572491065391674</c:v>
                </c:pt>
                <c:pt idx="29">
                  <c:v>0.15428976123027113</c:v>
                </c:pt>
                <c:pt idx="30">
                  <c:v>0.15627889772517106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Req2!$B$116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Req2!$C$116:$AG$116</c:f>
              <c:numCache>
                <c:ptCount val="31"/>
                <c:pt idx="0">
                  <c:v>0.28251864125932064</c:v>
                </c:pt>
                <c:pt idx="1">
                  <c:v>0.2731271995977878</c:v>
                </c:pt>
                <c:pt idx="2">
                  <c:v>0.2787531350770333</c:v>
                </c:pt>
                <c:pt idx="3">
                  <c:v>0.2782310512001892</c:v>
                </c:pt>
                <c:pt idx="4">
                  <c:v>0.2740521461915063</c:v>
                </c:pt>
                <c:pt idx="5">
                  <c:v>0.27258497316636854</c:v>
                </c:pt>
                <c:pt idx="6">
                  <c:v>0.26911245300216474</c:v>
                </c:pt>
                <c:pt idx="7">
                  <c:v>0.2668219144503003</c:v>
                </c:pt>
                <c:pt idx="8">
                  <c:v>0.2608695652173913</c:v>
                </c:pt>
                <c:pt idx="9">
                  <c:v>0.2563157324081102</c:v>
                </c:pt>
                <c:pt idx="10">
                  <c:v>0.256255212677231</c:v>
                </c:pt>
                <c:pt idx="11">
                  <c:v>0.25598213336169306</c:v>
                </c:pt>
                <c:pt idx="12">
                  <c:v>0.25426306071467364</c:v>
                </c:pt>
                <c:pt idx="13">
                  <c:v>0.24810071630128067</c:v>
                </c:pt>
                <c:pt idx="14">
                  <c:v>0.2562680038408194</c:v>
                </c:pt>
                <c:pt idx="15">
                  <c:v>0.25052764879696077</c:v>
                </c:pt>
                <c:pt idx="16">
                  <c:v>0.24160313208324746</c:v>
                </c:pt>
                <c:pt idx="17">
                  <c:v>0.24777598059037606</c:v>
                </c:pt>
                <c:pt idx="18">
                  <c:v>0.24356456114959166</c:v>
                </c:pt>
                <c:pt idx="19">
                  <c:v>0.235140499321007</c:v>
                </c:pt>
                <c:pt idx="20">
                  <c:v>0.23455946921650891</c:v>
                </c:pt>
                <c:pt idx="21">
                  <c:v>0.22904035124398914</c:v>
                </c:pt>
                <c:pt idx="22">
                  <c:v>0.22818076027928627</c:v>
                </c:pt>
                <c:pt idx="23">
                  <c:v>0.21966608425548437</c:v>
                </c:pt>
                <c:pt idx="24">
                  <c:v>0.21915023378735515</c:v>
                </c:pt>
                <c:pt idx="25">
                  <c:v>0.22191373326722855</c:v>
                </c:pt>
                <c:pt idx="26">
                  <c:v>0.21031542176101922</c:v>
                </c:pt>
                <c:pt idx="27">
                  <c:v>0.2151129675337004</c:v>
                </c:pt>
                <c:pt idx="28">
                  <c:v>0.2134646962233169</c:v>
                </c:pt>
                <c:pt idx="29">
                  <c:v>0.2103399433427762</c:v>
                </c:pt>
                <c:pt idx="30">
                  <c:v>0.21490660255224708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Req2!$B$117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Req2!$C$117:$AG$117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0.0008736167734420501</c:v>
                </c:pt>
                <c:pt idx="24">
                  <c:v>0.0020329335230737954</c:v>
                </c:pt>
                <c:pt idx="25">
                  <c:v>0.002974714923153198</c:v>
                </c:pt>
                <c:pt idx="26">
                  <c:v>0.0041097297852666186</c:v>
                </c:pt>
                <c:pt idx="27">
                  <c:v>0.006075564837668502</c:v>
                </c:pt>
                <c:pt idx="28">
                  <c:v>0.007534048101999421</c:v>
                </c:pt>
                <c:pt idx="29">
                  <c:v>0.008599757183326588</c:v>
                </c:pt>
                <c:pt idx="30">
                  <c:v>0.009802108378028482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Req2!$B$118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Req2!$C$118:$AG$118</c:f>
              <c:numCache>
                <c:ptCount val="31"/>
                <c:pt idx="0">
                  <c:v>0.060243815836193634</c:v>
                </c:pt>
                <c:pt idx="1">
                  <c:v>0.06246857717445953</c:v>
                </c:pt>
                <c:pt idx="2">
                  <c:v>0.0600740475337394</c:v>
                </c:pt>
                <c:pt idx="3">
                  <c:v>0.06266997753340428</c:v>
                </c:pt>
                <c:pt idx="4">
                  <c:v>0.06239325970625071</c:v>
                </c:pt>
                <c:pt idx="5">
                  <c:v>0.06440071556350627</c:v>
                </c:pt>
                <c:pt idx="6">
                  <c:v>0.0653981998404922</c:v>
                </c:pt>
                <c:pt idx="7">
                  <c:v>0.06569432528496139</c:v>
                </c:pt>
                <c:pt idx="8">
                  <c:v>0.06450295978771178</c:v>
                </c:pt>
                <c:pt idx="9">
                  <c:v>0.06613900032527377</c:v>
                </c:pt>
                <c:pt idx="10">
                  <c:v>0.06432443703085905</c:v>
                </c:pt>
                <c:pt idx="11">
                  <c:v>0.06412846963734978</c:v>
                </c:pt>
                <c:pt idx="12">
                  <c:v>0.06386445096122516</c:v>
                </c:pt>
                <c:pt idx="13">
                  <c:v>0.06338181028869112</c:v>
                </c:pt>
                <c:pt idx="14">
                  <c:v>0.06070628400725488</c:v>
                </c:pt>
                <c:pt idx="15">
                  <c:v>0.06331785563528915</c:v>
                </c:pt>
                <c:pt idx="16">
                  <c:v>0.06470224603338141</c:v>
                </c:pt>
                <c:pt idx="17">
                  <c:v>0.06500202183582693</c:v>
                </c:pt>
                <c:pt idx="18">
                  <c:v>0.06595678693269927</c:v>
                </c:pt>
                <c:pt idx="19">
                  <c:v>0.0668546954977541</c:v>
                </c:pt>
                <c:pt idx="20">
                  <c:v>0.06332325104888281</c:v>
                </c:pt>
                <c:pt idx="21">
                  <c:v>0.06355843612795317</c:v>
                </c:pt>
                <c:pt idx="22">
                  <c:v>0.06089992242048099</c:v>
                </c:pt>
                <c:pt idx="23">
                  <c:v>0.05960007765482431</c:v>
                </c:pt>
                <c:pt idx="24">
                  <c:v>0.061496239072982316</c:v>
                </c:pt>
                <c:pt idx="25">
                  <c:v>0.0600892414476946</c:v>
                </c:pt>
                <c:pt idx="26">
                  <c:v>0.05928285215247098</c:v>
                </c:pt>
                <c:pt idx="27">
                  <c:v>0.06255933168786786</c:v>
                </c:pt>
                <c:pt idx="28">
                  <c:v>0.0581473968897904</c:v>
                </c:pt>
                <c:pt idx="29">
                  <c:v>0.05888304330230676</c:v>
                </c:pt>
                <c:pt idx="30">
                  <c:v>0.05483632328463103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Req2!$B$119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Req2!$C$119:$AG$119</c:f>
              <c:numCache>
                <c:ptCount val="31"/>
                <c:pt idx="0">
                  <c:v>0.23351875961652266</c:v>
                </c:pt>
                <c:pt idx="1">
                  <c:v>0.24057315233785823</c:v>
                </c:pt>
                <c:pt idx="2">
                  <c:v>0.23742983399020662</c:v>
                </c:pt>
                <c:pt idx="3">
                  <c:v>0.2380276693863072</c:v>
                </c:pt>
                <c:pt idx="4">
                  <c:v>0.24035067744506433</c:v>
                </c:pt>
                <c:pt idx="5">
                  <c:v>0.24440966010733453</c:v>
                </c:pt>
                <c:pt idx="6">
                  <c:v>0.24199612623903383</c:v>
                </c:pt>
                <c:pt idx="7">
                  <c:v>0.2485598725333987</c:v>
                </c:pt>
                <c:pt idx="8">
                  <c:v>0.24464176362522963</c:v>
                </c:pt>
                <c:pt idx="9">
                  <c:v>0.2500271061476743</c:v>
                </c:pt>
                <c:pt idx="10">
                  <c:v>0.24384904086738948</c:v>
                </c:pt>
                <c:pt idx="11">
                  <c:v>0.23885993831755822</c:v>
                </c:pt>
                <c:pt idx="12">
                  <c:v>0.24090366025849896</c:v>
                </c:pt>
                <c:pt idx="13">
                  <c:v>0.2447362708921207</c:v>
                </c:pt>
                <c:pt idx="14">
                  <c:v>0.24271844660194175</c:v>
                </c:pt>
                <c:pt idx="15">
                  <c:v>0.24451245251160827</c:v>
                </c:pt>
                <c:pt idx="16">
                  <c:v>0.24922728209355038</c:v>
                </c:pt>
                <c:pt idx="17">
                  <c:v>0.24767488879902952</c:v>
                </c:pt>
                <c:pt idx="18">
                  <c:v>0.24749302181329474</c:v>
                </c:pt>
                <c:pt idx="19">
                  <c:v>0.25122741042515406</c:v>
                </c:pt>
                <c:pt idx="20">
                  <c:v>0.24695092204117475</c:v>
                </c:pt>
                <c:pt idx="21">
                  <c:v>0.2532929123980765</c:v>
                </c:pt>
                <c:pt idx="22">
                  <c:v>0.24922420480993018</c:v>
                </c:pt>
                <c:pt idx="23">
                  <c:v>0.24791302659677733</c:v>
                </c:pt>
                <c:pt idx="24">
                  <c:v>0.24628989632039033</c:v>
                </c:pt>
                <c:pt idx="25">
                  <c:v>0.24769459593455628</c:v>
                </c:pt>
                <c:pt idx="26">
                  <c:v>0.24771396280694544</c:v>
                </c:pt>
                <c:pt idx="27">
                  <c:v>0.23998481108790584</c:v>
                </c:pt>
                <c:pt idx="28">
                  <c:v>0.23799864773495605</c:v>
                </c:pt>
                <c:pt idx="29">
                  <c:v>0.2442331040064751</c:v>
                </c:pt>
                <c:pt idx="30">
                  <c:v>0.23636027371925283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Req2!$B$120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Req2!$C$120:$AG$120</c:f>
              <c:numCache>
                <c:ptCount val="31"/>
                <c:pt idx="0">
                  <c:v>0.025920227245827907</c:v>
                </c:pt>
                <c:pt idx="1">
                  <c:v>0.026772247360482653</c:v>
                </c:pt>
                <c:pt idx="2">
                  <c:v>0.025797205302758867</c:v>
                </c:pt>
                <c:pt idx="3">
                  <c:v>0.02956131015726617</c:v>
                </c:pt>
                <c:pt idx="4">
                  <c:v>0.03108277353979278</c:v>
                </c:pt>
                <c:pt idx="5">
                  <c:v>0.03231216457960644</c:v>
                </c:pt>
                <c:pt idx="6">
                  <c:v>0.0358892560100262</c:v>
                </c:pt>
                <c:pt idx="7">
                  <c:v>0.035175879396984924</c:v>
                </c:pt>
                <c:pt idx="8">
                  <c:v>0.03725250051030823</c:v>
                </c:pt>
                <c:pt idx="9">
                  <c:v>0.03740648379052369</c:v>
                </c:pt>
                <c:pt idx="10">
                  <c:v>0.039616346955796494</c:v>
                </c:pt>
                <c:pt idx="11">
                  <c:v>0.03903009677762416</c:v>
                </c:pt>
                <c:pt idx="12">
                  <c:v>0.0392092972738134</c:v>
                </c:pt>
                <c:pt idx="13">
                  <c:v>0.0412415888864771</c:v>
                </c:pt>
                <c:pt idx="14">
                  <c:v>0.041822255414488425</c:v>
                </c:pt>
                <c:pt idx="15">
                  <c:v>0.04358379062895736</c:v>
                </c:pt>
                <c:pt idx="16">
                  <c:v>0.04574490006181743</c:v>
                </c:pt>
                <c:pt idx="17">
                  <c:v>0.04599676506267691</c:v>
                </c:pt>
                <c:pt idx="18">
                  <c:v>0.04610772252662049</c:v>
                </c:pt>
                <c:pt idx="19">
                  <c:v>0.052961454089627075</c:v>
                </c:pt>
                <c:pt idx="20">
                  <c:v>0.06039613620841058</c:v>
                </c:pt>
                <c:pt idx="21">
                  <c:v>0.06449926824168932</c:v>
                </c:pt>
                <c:pt idx="22">
                  <c:v>0.07059736229635376</c:v>
                </c:pt>
                <c:pt idx="23">
                  <c:v>0.07726655018443021</c:v>
                </c:pt>
                <c:pt idx="24">
                  <c:v>0.08091075421833706</c:v>
                </c:pt>
                <c:pt idx="25">
                  <c:v>0.08160634605850273</c:v>
                </c:pt>
                <c:pt idx="26">
                  <c:v>0.09226343367923559</c:v>
                </c:pt>
                <c:pt idx="27">
                  <c:v>0.0896145813556104</c:v>
                </c:pt>
                <c:pt idx="28">
                  <c:v>0.0949483241572491</c:v>
                </c:pt>
                <c:pt idx="29">
                  <c:v>0.09540671792796439</c:v>
                </c:pt>
                <c:pt idx="30">
                  <c:v>0.09792861105973738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Req2!$B$121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Req2!$C$121:$AG$121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0.0006836048763814515</c:v>
                </c:pt>
                <c:pt idx="7">
                  <c:v>0.0052702537075622015</c:v>
                </c:pt>
                <c:pt idx="8">
                  <c:v>0.01224739742804654</c:v>
                </c:pt>
                <c:pt idx="9">
                  <c:v>0.01680581155806137</c:v>
                </c:pt>
                <c:pt idx="10">
                  <c:v>0.0201209341117598</c:v>
                </c:pt>
                <c:pt idx="11">
                  <c:v>0.022971392108901416</c:v>
                </c:pt>
                <c:pt idx="12">
                  <c:v>0.02802215705441512</c:v>
                </c:pt>
                <c:pt idx="13">
                  <c:v>0.02821792923811591</c:v>
                </c:pt>
                <c:pt idx="14">
                  <c:v>0.028912834738077455</c:v>
                </c:pt>
                <c:pt idx="15">
                  <c:v>0.029442802870409457</c:v>
                </c:pt>
                <c:pt idx="16">
                  <c:v>0.03132083247475788</c:v>
                </c:pt>
                <c:pt idx="17">
                  <c:v>0.03346138293570562</c:v>
                </c:pt>
                <c:pt idx="18">
                  <c:v>0.03535614597332782</c:v>
                </c:pt>
                <c:pt idx="19">
                  <c:v>0.03760576621748668</c:v>
                </c:pt>
                <c:pt idx="20">
                  <c:v>0.03561323055907893</c:v>
                </c:pt>
                <c:pt idx="21">
                  <c:v>0.03794689525402467</c:v>
                </c:pt>
                <c:pt idx="22">
                  <c:v>0.036365399534522884</c:v>
                </c:pt>
                <c:pt idx="23">
                  <c:v>0.035235876528829355</c:v>
                </c:pt>
                <c:pt idx="24">
                  <c:v>0.03740597682455784</c:v>
                </c:pt>
                <c:pt idx="25">
                  <c:v>0.03619236489836391</c:v>
                </c:pt>
                <c:pt idx="26">
                  <c:v>0.03359704099455461</c:v>
                </c:pt>
                <c:pt idx="27">
                  <c:v>0.03550408202012531</c:v>
                </c:pt>
                <c:pt idx="28">
                  <c:v>0.038442963392253456</c:v>
                </c:pt>
                <c:pt idx="29">
                  <c:v>0.037535410764872525</c:v>
                </c:pt>
                <c:pt idx="30">
                  <c:v>0.03680414277788052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Req2!$B$122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Req2!$C$122:$AG$122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0.0005169027189083015</c:v>
                </c:pt>
                <c:pt idx="19">
                  <c:v>0.0017758278491590933</c:v>
                </c:pt>
                <c:pt idx="20">
                  <c:v>0.0037076787979315054</c:v>
                </c:pt>
                <c:pt idx="21">
                  <c:v>0.005540455780890655</c:v>
                </c:pt>
                <c:pt idx="22">
                  <c:v>0.007757951900698216</c:v>
                </c:pt>
                <c:pt idx="23">
                  <c:v>0.008736167734420501</c:v>
                </c:pt>
                <c:pt idx="24">
                  <c:v>0.011486074405366944</c:v>
                </c:pt>
                <c:pt idx="25">
                  <c:v>0.01080813088745662</c:v>
                </c:pt>
                <c:pt idx="26">
                  <c:v>0.013048392068221514</c:v>
                </c:pt>
                <c:pt idx="27">
                  <c:v>0.015758496297702675</c:v>
                </c:pt>
                <c:pt idx="28">
                  <c:v>0.015647638365691104</c:v>
                </c:pt>
                <c:pt idx="29">
                  <c:v>0.01659247268312424</c:v>
                </c:pt>
                <c:pt idx="30">
                  <c:v>0.017662289624560755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Req2!$B$123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Req2!$C$123:$AG$123</c:f>
              <c:numCache>
                <c:ptCount val="31"/>
                <c:pt idx="0">
                  <c:v>0.0026038584447863654</c:v>
                </c:pt>
                <c:pt idx="1">
                  <c:v>0.0032679738562091504</c:v>
                </c:pt>
                <c:pt idx="2">
                  <c:v>0.0027469246387196943</c:v>
                </c:pt>
                <c:pt idx="3">
                  <c:v>0.0018919238500650349</c:v>
                </c:pt>
                <c:pt idx="4">
                  <c:v>0.001935557326653763</c:v>
                </c:pt>
                <c:pt idx="5">
                  <c:v>0.00212432915921288</c:v>
                </c:pt>
                <c:pt idx="6">
                  <c:v>0.0017090121909536288</c:v>
                </c:pt>
                <c:pt idx="7">
                  <c:v>0.0018384605956612329</c:v>
                </c:pt>
                <c:pt idx="8">
                  <c:v>0.0016329863237395388</c:v>
                </c:pt>
                <c:pt idx="9">
                  <c:v>0.001734793451154722</c:v>
                </c:pt>
                <c:pt idx="10">
                  <c:v>0.001980817347789825</c:v>
                </c:pt>
                <c:pt idx="11">
                  <c:v>0.002126980750824205</c:v>
                </c:pt>
                <c:pt idx="12">
                  <c:v>0.002498099272292821</c:v>
                </c:pt>
                <c:pt idx="13">
                  <c:v>0.0024962014326025614</c:v>
                </c:pt>
                <c:pt idx="14">
                  <c:v>0.002347167395711085</c:v>
                </c:pt>
                <c:pt idx="15">
                  <c:v>0.002321654706627269</c:v>
                </c:pt>
                <c:pt idx="16">
                  <c:v>0.002369668246445498</c:v>
                </c:pt>
                <c:pt idx="17">
                  <c:v>0.002426202992317024</c:v>
                </c:pt>
                <c:pt idx="18">
                  <c:v>0.0018608497880698853</c:v>
                </c:pt>
                <c:pt idx="19">
                  <c:v>0.0016713673874438526</c:v>
                </c:pt>
                <c:pt idx="20">
                  <c:v>0.0015611279149185286</c:v>
                </c:pt>
                <c:pt idx="21">
                  <c:v>0.0017771273259460589</c:v>
                </c:pt>
                <c:pt idx="22">
                  <c:v>0.001939487975174554</c:v>
                </c:pt>
                <c:pt idx="23">
                  <c:v>0.0019413706076490001</c:v>
                </c:pt>
                <c:pt idx="24">
                  <c:v>0.0021345801992274853</c:v>
                </c:pt>
                <c:pt idx="25">
                  <c:v>0.0013882002974714923</c:v>
                </c:pt>
                <c:pt idx="26">
                  <c:v>0.0012329189355799856</c:v>
                </c:pt>
                <c:pt idx="27">
                  <c:v>0.0013290298082399847</c:v>
                </c:pt>
                <c:pt idx="28">
                  <c:v>0.0016420361247947454</c:v>
                </c:pt>
                <c:pt idx="29">
                  <c:v>0.001112909753136382</c:v>
                </c:pt>
                <c:pt idx="30">
                  <c:v>0.0012946180876641392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Req2!$B$124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Req2!$C$124:$AG$124</c:f>
              <c:numCache>
                <c:ptCount val="31"/>
                <c:pt idx="0">
                  <c:v>0.22014439578648362</c:v>
                </c:pt>
                <c:pt idx="1">
                  <c:v>0.21681749622926094</c:v>
                </c:pt>
                <c:pt idx="2">
                  <c:v>0.22070942314582587</c:v>
                </c:pt>
                <c:pt idx="3">
                  <c:v>0.21768948799810808</c:v>
                </c:pt>
                <c:pt idx="4">
                  <c:v>0.21962882841853582</c:v>
                </c:pt>
                <c:pt idx="5">
                  <c:v>0.21422182468694095</c:v>
                </c:pt>
                <c:pt idx="6">
                  <c:v>0.21636094337472941</c:v>
                </c:pt>
                <c:pt idx="7">
                  <c:v>0.21105527638190955</c:v>
                </c:pt>
                <c:pt idx="8">
                  <c:v>0.21290059195754235</c:v>
                </c:pt>
                <c:pt idx="9">
                  <c:v>0.20839206331996096</c:v>
                </c:pt>
                <c:pt idx="10">
                  <c:v>0.2062135112593828</c:v>
                </c:pt>
                <c:pt idx="11">
                  <c:v>0.2072742741678188</c:v>
                </c:pt>
                <c:pt idx="12">
                  <c:v>0.2066905615292712</c:v>
                </c:pt>
                <c:pt idx="13">
                  <c:v>0.1996961146082049</c:v>
                </c:pt>
                <c:pt idx="14">
                  <c:v>0.20025605462498666</c:v>
                </c:pt>
                <c:pt idx="15">
                  <c:v>0.20018995356690586</c:v>
                </c:pt>
                <c:pt idx="16">
                  <c:v>0.19719760972594272</c:v>
                </c:pt>
                <c:pt idx="17">
                  <c:v>0.19207440355843106</c:v>
                </c:pt>
                <c:pt idx="18">
                  <c:v>0.1949757055722113</c:v>
                </c:pt>
                <c:pt idx="19">
                  <c:v>0.18938681708973154</c:v>
                </c:pt>
                <c:pt idx="20">
                  <c:v>0.19143331056688456</c:v>
                </c:pt>
                <c:pt idx="21">
                  <c:v>0.18868910725486096</c:v>
                </c:pt>
                <c:pt idx="22">
                  <c:v>0.1908456167571761</c:v>
                </c:pt>
                <c:pt idx="23">
                  <c:v>0.19073966220151428</c:v>
                </c:pt>
                <c:pt idx="24">
                  <c:v>0.18509859727586908</c:v>
                </c:pt>
                <c:pt idx="25">
                  <c:v>0.18235002478929102</c:v>
                </c:pt>
                <c:pt idx="26">
                  <c:v>0.18319120517825954</c:v>
                </c:pt>
                <c:pt idx="27">
                  <c:v>0.1763812416935637</c:v>
                </c:pt>
                <c:pt idx="28">
                  <c:v>0.17492514247078142</c:v>
                </c:pt>
                <c:pt idx="29">
                  <c:v>0.17300687980574667</c:v>
                </c:pt>
                <c:pt idx="30">
                  <c:v>0.1738487146291844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Req2!$B$125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Req2!$C$125:$AG$125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0.0002774181616423155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Req2!$B$127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Req2!$C$127:$AG$127</c:f>
              <c:numCache>
                <c:ptCount val="31"/>
                <c:pt idx="0">
                  <c:v>0.4575689430701858</c:v>
                </c:pt>
                <c:pt idx="1">
                  <c:v>0.4501005530417295</c:v>
                </c:pt>
                <c:pt idx="2">
                  <c:v>0.4532425653887496</c:v>
                </c:pt>
                <c:pt idx="3">
                  <c:v>0.45015963107484924</c:v>
                </c:pt>
                <c:pt idx="4">
                  <c:v>0.4446089035637026</c:v>
                </c:pt>
                <c:pt idx="5">
                  <c:v>0.44253130590339895</c:v>
                </c:pt>
                <c:pt idx="6">
                  <c:v>0.43796285746838326</c:v>
                </c:pt>
                <c:pt idx="7">
                  <c:v>0.432405932099522</c:v>
                </c:pt>
                <c:pt idx="8">
                  <c:v>0.4268218003674219</c:v>
                </c:pt>
                <c:pt idx="9">
                  <c:v>0.4194947414073512</c:v>
                </c:pt>
                <c:pt idx="10">
                  <c:v>0.42389491242702254</c:v>
                </c:pt>
                <c:pt idx="11">
                  <c:v>0.42560884823992345</c:v>
                </c:pt>
                <c:pt idx="12">
                  <c:v>0.41881177365048333</c:v>
                </c:pt>
                <c:pt idx="13">
                  <c:v>0.4202300846537877</c:v>
                </c:pt>
                <c:pt idx="14">
                  <c:v>0.42323695721753973</c:v>
                </c:pt>
                <c:pt idx="15">
                  <c:v>0.4166314900802026</c:v>
                </c:pt>
                <c:pt idx="16">
                  <c:v>0.4094374613641047</c:v>
                </c:pt>
                <c:pt idx="17">
                  <c:v>0.4133643348160129</c:v>
                </c:pt>
                <c:pt idx="18">
                  <c:v>0.4077328646748682</c:v>
                </c:pt>
                <c:pt idx="19">
                  <c:v>0.39851666144364356</c:v>
                </c:pt>
                <c:pt idx="20">
                  <c:v>0.3970143428627183</c:v>
                </c:pt>
                <c:pt idx="21">
                  <c:v>0.38469579761655864</c:v>
                </c:pt>
                <c:pt idx="22">
                  <c:v>0.3823700543056633</c:v>
                </c:pt>
                <c:pt idx="23">
                  <c:v>0.37856726849155503</c:v>
                </c:pt>
                <c:pt idx="24">
                  <c:v>0.37517788168326893</c:v>
                </c:pt>
                <c:pt idx="25">
                  <c:v>0.3798710956866634</c:v>
                </c:pt>
                <c:pt idx="26">
                  <c:v>0.36967019418473235</c:v>
                </c:pt>
                <c:pt idx="27">
                  <c:v>0.37886842604898424</c:v>
                </c:pt>
                <c:pt idx="28">
                  <c:v>0.3782478508644837</c:v>
                </c:pt>
                <c:pt idx="29">
                  <c:v>0.37322946175637395</c:v>
                </c:pt>
                <c:pt idx="30">
                  <c:v>0.3809876086554466</c:v>
                </c:pt>
              </c:numCache>
            </c:numRef>
          </c:val>
          <c:smooth val="0"/>
        </c:ser>
        <c:marker val="1"/>
        <c:axId val="59334620"/>
        <c:axId val="64249533"/>
      </c:lineChart>
      <c:dateAx>
        <c:axId val="59334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49533"/>
        <c:crosses val="autoZero"/>
        <c:auto val="0"/>
        <c:noMultiLvlLbl val="0"/>
      </c:dateAx>
      <c:valAx>
        <c:axId val="6424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Patients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93346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45825"/>
          <c:w val="0.18325"/>
          <c:h val="0.39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Nombres de patients (données mensuelles)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- 162 médecins visités au 16/01/2007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435"/>
          <c:w val="0.7537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Req2!$B$97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Req2!$C$97:$AG$97</c:f>
              <c:numCache>
                <c:ptCount val="31"/>
                <c:pt idx="0">
                  <c:v>1479</c:v>
                </c:pt>
                <c:pt idx="1">
                  <c:v>1408</c:v>
                </c:pt>
                <c:pt idx="2">
                  <c:v>1461</c:v>
                </c:pt>
                <c:pt idx="3">
                  <c:v>1454</c:v>
                </c:pt>
                <c:pt idx="4">
                  <c:v>1498</c:v>
                </c:pt>
                <c:pt idx="5">
                  <c:v>1520</c:v>
                </c:pt>
                <c:pt idx="6">
                  <c:v>1482</c:v>
                </c:pt>
                <c:pt idx="7">
                  <c:v>1351</c:v>
                </c:pt>
                <c:pt idx="8">
                  <c:v>1626</c:v>
                </c:pt>
                <c:pt idx="9">
                  <c:v>1505</c:v>
                </c:pt>
                <c:pt idx="10">
                  <c:v>1608</c:v>
                </c:pt>
                <c:pt idx="11">
                  <c:v>1595</c:v>
                </c:pt>
                <c:pt idx="12">
                  <c:v>1515</c:v>
                </c:pt>
                <c:pt idx="13">
                  <c:v>1586</c:v>
                </c:pt>
                <c:pt idx="14">
                  <c:v>1565</c:v>
                </c:pt>
                <c:pt idx="15">
                  <c:v>1574</c:v>
                </c:pt>
                <c:pt idx="16">
                  <c:v>1629</c:v>
                </c:pt>
                <c:pt idx="17">
                  <c:v>1638</c:v>
                </c:pt>
                <c:pt idx="18">
                  <c:v>1588</c:v>
                </c:pt>
                <c:pt idx="19">
                  <c:v>1564</c:v>
                </c:pt>
                <c:pt idx="20">
                  <c:v>1665</c:v>
                </c:pt>
                <c:pt idx="21">
                  <c:v>1489</c:v>
                </c:pt>
                <c:pt idx="22">
                  <c:v>1590</c:v>
                </c:pt>
                <c:pt idx="23">
                  <c:v>1628</c:v>
                </c:pt>
                <c:pt idx="24">
                  <c:v>1515</c:v>
                </c:pt>
                <c:pt idx="25">
                  <c:v>1563</c:v>
                </c:pt>
                <c:pt idx="26">
                  <c:v>1511</c:v>
                </c:pt>
                <c:pt idx="27">
                  <c:v>1661</c:v>
                </c:pt>
                <c:pt idx="28">
                  <c:v>1628</c:v>
                </c:pt>
                <c:pt idx="29">
                  <c:v>1525</c:v>
                </c:pt>
                <c:pt idx="30">
                  <c:v>1690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Req2!$B$98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Req2!$C$98:$AG$98</c:f>
              <c:numCache>
                <c:ptCount val="31"/>
                <c:pt idx="0">
                  <c:v>2387</c:v>
                </c:pt>
                <c:pt idx="1">
                  <c:v>2173</c:v>
                </c:pt>
                <c:pt idx="2">
                  <c:v>2334</c:v>
                </c:pt>
                <c:pt idx="3">
                  <c:v>2353</c:v>
                </c:pt>
                <c:pt idx="4">
                  <c:v>2407</c:v>
                </c:pt>
                <c:pt idx="5">
                  <c:v>2438</c:v>
                </c:pt>
                <c:pt idx="6">
                  <c:v>2362</c:v>
                </c:pt>
                <c:pt idx="7">
                  <c:v>2177</c:v>
                </c:pt>
                <c:pt idx="8">
                  <c:v>2556</c:v>
                </c:pt>
                <c:pt idx="9">
                  <c:v>2364</c:v>
                </c:pt>
                <c:pt idx="10">
                  <c:v>2458</c:v>
                </c:pt>
                <c:pt idx="11">
                  <c:v>2407</c:v>
                </c:pt>
                <c:pt idx="12">
                  <c:v>2341</c:v>
                </c:pt>
                <c:pt idx="13">
                  <c:v>2286</c:v>
                </c:pt>
                <c:pt idx="14">
                  <c:v>2402</c:v>
                </c:pt>
                <c:pt idx="15">
                  <c:v>2374</c:v>
                </c:pt>
                <c:pt idx="16">
                  <c:v>2345</c:v>
                </c:pt>
                <c:pt idx="17">
                  <c:v>2451</c:v>
                </c:pt>
                <c:pt idx="18">
                  <c:v>2356</c:v>
                </c:pt>
                <c:pt idx="19">
                  <c:v>2251</c:v>
                </c:pt>
                <c:pt idx="20">
                  <c:v>2404</c:v>
                </c:pt>
                <c:pt idx="21">
                  <c:v>2191</c:v>
                </c:pt>
                <c:pt idx="22">
                  <c:v>2353</c:v>
                </c:pt>
                <c:pt idx="23">
                  <c:v>2263</c:v>
                </c:pt>
                <c:pt idx="24">
                  <c:v>2156</c:v>
                </c:pt>
                <c:pt idx="25">
                  <c:v>2238</c:v>
                </c:pt>
                <c:pt idx="26">
                  <c:v>2047</c:v>
                </c:pt>
                <c:pt idx="27">
                  <c:v>2266</c:v>
                </c:pt>
                <c:pt idx="28">
                  <c:v>2210</c:v>
                </c:pt>
                <c:pt idx="29">
                  <c:v>2079</c:v>
                </c:pt>
                <c:pt idx="30">
                  <c:v>2324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Req2!$B$99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Req2!$C$99:$AG$99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</c:v>
                </c:pt>
                <c:pt idx="24">
                  <c:v>20</c:v>
                </c:pt>
                <c:pt idx="25">
                  <c:v>30</c:v>
                </c:pt>
                <c:pt idx="26">
                  <c:v>40</c:v>
                </c:pt>
                <c:pt idx="27">
                  <c:v>64</c:v>
                </c:pt>
                <c:pt idx="28">
                  <c:v>78</c:v>
                </c:pt>
                <c:pt idx="29">
                  <c:v>85</c:v>
                </c:pt>
                <c:pt idx="30">
                  <c:v>106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Req2!$B$100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Req2!$C$100:$AG$100</c:f>
              <c:numCache>
                <c:ptCount val="31"/>
                <c:pt idx="0">
                  <c:v>509</c:v>
                </c:pt>
                <c:pt idx="1">
                  <c:v>497</c:v>
                </c:pt>
                <c:pt idx="2">
                  <c:v>503</c:v>
                </c:pt>
                <c:pt idx="3">
                  <c:v>530</c:v>
                </c:pt>
                <c:pt idx="4">
                  <c:v>548</c:v>
                </c:pt>
                <c:pt idx="5">
                  <c:v>576</c:v>
                </c:pt>
                <c:pt idx="6">
                  <c:v>574</c:v>
                </c:pt>
                <c:pt idx="7">
                  <c:v>536</c:v>
                </c:pt>
                <c:pt idx="8">
                  <c:v>632</c:v>
                </c:pt>
                <c:pt idx="9">
                  <c:v>610</c:v>
                </c:pt>
                <c:pt idx="10">
                  <c:v>617</c:v>
                </c:pt>
                <c:pt idx="11">
                  <c:v>603</c:v>
                </c:pt>
                <c:pt idx="12">
                  <c:v>588</c:v>
                </c:pt>
                <c:pt idx="13">
                  <c:v>584</c:v>
                </c:pt>
                <c:pt idx="14">
                  <c:v>569</c:v>
                </c:pt>
                <c:pt idx="15">
                  <c:v>600</c:v>
                </c:pt>
                <c:pt idx="16">
                  <c:v>628</c:v>
                </c:pt>
                <c:pt idx="17">
                  <c:v>643</c:v>
                </c:pt>
                <c:pt idx="18">
                  <c:v>638</c:v>
                </c:pt>
                <c:pt idx="19">
                  <c:v>640</c:v>
                </c:pt>
                <c:pt idx="20">
                  <c:v>649</c:v>
                </c:pt>
                <c:pt idx="21">
                  <c:v>608</c:v>
                </c:pt>
                <c:pt idx="22">
                  <c:v>628</c:v>
                </c:pt>
                <c:pt idx="23">
                  <c:v>614</c:v>
                </c:pt>
                <c:pt idx="24">
                  <c:v>605</c:v>
                </c:pt>
                <c:pt idx="25">
                  <c:v>606</c:v>
                </c:pt>
                <c:pt idx="26">
                  <c:v>577</c:v>
                </c:pt>
                <c:pt idx="27">
                  <c:v>659</c:v>
                </c:pt>
                <c:pt idx="28">
                  <c:v>602</c:v>
                </c:pt>
                <c:pt idx="29">
                  <c:v>582</c:v>
                </c:pt>
                <c:pt idx="30">
                  <c:v>593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Req2!$B$101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Req2!$C$101:$AG$101</c:f>
              <c:numCache>
                <c:ptCount val="31"/>
                <c:pt idx="0">
                  <c:v>1973</c:v>
                </c:pt>
                <c:pt idx="1">
                  <c:v>1914</c:v>
                </c:pt>
                <c:pt idx="2">
                  <c:v>1988</c:v>
                </c:pt>
                <c:pt idx="3">
                  <c:v>2013</c:v>
                </c:pt>
                <c:pt idx="4">
                  <c:v>2111</c:v>
                </c:pt>
                <c:pt idx="5">
                  <c:v>2186</c:v>
                </c:pt>
                <c:pt idx="6">
                  <c:v>2124</c:v>
                </c:pt>
                <c:pt idx="7">
                  <c:v>2028</c:v>
                </c:pt>
                <c:pt idx="8">
                  <c:v>2397</c:v>
                </c:pt>
                <c:pt idx="9">
                  <c:v>2306</c:v>
                </c:pt>
                <c:pt idx="10">
                  <c:v>2339</c:v>
                </c:pt>
                <c:pt idx="11">
                  <c:v>2246</c:v>
                </c:pt>
                <c:pt idx="12">
                  <c:v>2218</c:v>
                </c:pt>
                <c:pt idx="13">
                  <c:v>2255</c:v>
                </c:pt>
                <c:pt idx="14">
                  <c:v>2275</c:v>
                </c:pt>
                <c:pt idx="15">
                  <c:v>2317</c:v>
                </c:pt>
                <c:pt idx="16">
                  <c:v>2419</c:v>
                </c:pt>
                <c:pt idx="17">
                  <c:v>2450</c:v>
                </c:pt>
                <c:pt idx="18">
                  <c:v>2394</c:v>
                </c:pt>
                <c:pt idx="19">
                  <c:v>2405</c:v>
                </c:pt>
                <c:pt idx="20">
                  <c:v>2531</c:v>
                </c:pt>
                <c:pt idx="21">
                  <c:v>2423</c:v>
                </c:pt>
                <c:pt idx="22">
                  <c:v>2570</c:v>
                </c:pt>
                <c:pt idx="23">
                  <c:v>2554</c:v>
                </c:pt>
                <c:pt idx="24">
                  <c:v>2423</c:v>
                </c:pt>
                <c:pt idx="25">
                  <c:v>2498</c:v>
                </c:pt>
                <c:pt idx="26">
                  <c:v>2411</c:v>
                </c:pt>
                <c:pt idx="27">
                  <c:v>2528</c:v>
                </c:pt>
                <c:pt idx="28">
                  <c:v>2464</c:v>
                </c:pt>
                <c:pt idx="29">
                  <c:v>2414</c:v>
                </c:pt>
                <c:pt idx="30">
                  <c:v>2556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Req2!$B$102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Req2!$C$102:$AG$102</c:f>
              <c:numCache>
                <c:ptCount val="31"/>
                <c:pt idx="0">
                  <c:v>219</c:v>
                </c:pt>
                <c:pt idx="1">
                  <c:v>213</c:v>
                </c:pt>
                <c:pt idx="2">
                  <c:v>216</c:v>
                </c:pt>
                <c:pt idx="3">
                  <c:v>250</c:v>
                </c:pt>
                <c:pt idx="4">
                  <c:v>273</c:v>
                </c:pt>
                <c:pt idx="5">
                  <c:v>289</c:v>
                </c:pt>
                <c:pt idx="6">
                  <c:v>315</c:v>
                </c:pt>
                <c:pt idx="7">
                  <c:v>287</c:v>
                </c:pt>
                <c:pt idx="8">
                  <c:v>365</c:v>
                </c:pt>
                <c:pt idx="9">
                  <c:v>345</c:v>
                </c:pt>
                <c:pt idx="10">
                  <c:v>380</c:v>
                </c:pt>
                <c:pt idx="11">
                  <c:v>367</c:v>
                </c:pt>
                <c:pt idx="12">
                  <c:v>361</c:v>
                </c:pt>
                <c:pt idx="13">
                  <c:v>380</c:v>
                </c:pt>
                <c:pt idx="14">
                  <c:v>392</c:v>
                </c:pt>
                <c:pt idx="15">
                  <c:v>413</c:v>
                </c:pt>
                <c:pt idx="16">
                  <c:v>444</c:v>
                </c:pt>
                <c:pt idx="17">
                  <c:v>455</c:v>
                </c:pt>
                <c:pt idx="18">
                  <c:v>446</c:v>
                </c:pt>
                <c:pt idx="19">
                  <c:v>507</c:v>
                </c:pt>
                <c:pt idx="20">
                  <c:v>619</c:v>
                </c:pt>
                <c:pt idx="21">
                  <c:v>617</c:v>
                </c:pt>
                <c:pt idx="22">
                  <c:v>728</c:v>
                </c:pt>
                <c:pt idx="23">
                  <c:v>796</c:v>
                </c:pt>
                <c:pt idx="24">
                  <c:v>796</c:v>
                </c:pt>
                <c:pt idx="25">
                  <c:v>823</c:v>
                </c:pt>
                <c:pt idx="26">
                  <c:v>898</c:v>
                </c:pt>
                <c:pt idx="27">
                  <c:v>944</c:v>
                </c:pt>
                <c:pt idx="28">
                  <c:v>983</c:v>
                </c:pt>
                <c:pt idx="29">
                  <c:v>943</c:v>
                </c:pt>
                <c:pt idx="30">
                  <c:v>1059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Req2!$B$103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Req2!$C$103:$AG$103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43</c:v>
                </c:pt>
                <c:pt idx="8">
                  <c:v>120</c:v>
                </c:pt>
                <c:pt idx="9">
                  <c:v>155</c:v>
                </c:pt>
                <c:pt idx="10">
                  <c:v>193</c:v>
                </c:pt>
                <c:pt idx="11">
                  <c:v>216</c:v>
                </c:pt>
                <c:pt idx="12">
                  <c:v>258</c:v>
                </c:pt>
                <c:pt idx="13">
                  <c:v>260</c:v>
                </c:pt>
                <c:pt idx="14">
                  <c:v>271</c:v>
                </c:pt>
                <c:pt idx="15">
                  <c:v>279</c:v>
                </c:pt>
                <c:pt idx="16">
                  <c:v>304</c:v>
                </c:pt>
                <c:pt idx="17">
                  <c:v>331</c:v>
                </c:pt>
                <c:pt idx="18">
                  <c:v>342</c:v>
                </c:pt>
                <c:pt idx="19">
                  <c:v>360</c:v>
                </c:pt>
                <c:pt idx="20">
                  <c:v>365</c:v>
                </c:pt>
                <c:pt idx="21">
                  <c:v>363</c:v>
                </c:pt>
                <c:pt idx="22">
                  <c:v>375</c:v>
                </c:pt>
                <c:pt idx="23">
                  <c:v>363</c:v>
                </c:pt>
                <c:pt idx="24">
                  <c:v>368</c:v>
                </c:pt>
                <c:pt idx="25">
                  <c:v>365</c:v>
                </c:pt>
                <c:pt idx="26">
                  <c:v>327</c:v>
                </c:pt>
                <c:pt idx="27">
                  <c:v>374</c:v>
                </c:pt>
                <c:pt idx="28">
                  <c:v>398</c:v>
                </c:pt>
                <c:pt idx="29">
                  <c:v>371</c:v>
                </c:pt>
                <c:pt idx="30">
                  <c:v>398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Req2!$B$104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Req2!$C$104:$AG$104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17</c:v>
                </c:pt>
                <c:pt idx="20">
                  <c:v>38</c:v>
                </c:pt>
                <c:pt idx="21">
                  <c:v>53</c:v>
                </c:pt>
                <c:pt idx="22">
                  <c:v>80</c:v>
                </c:pt>
                <c:pt idx="23">
                  <c:v>90</c:v>
                </c:pt>
                <c:pt idx="24">
                  <c:v>113</c:v>
                </c:pt>
                <c:pt idx="25">
                  <c:v>109</c:v>
                </c:pt>
                <c:pt idx="26">
                  <c:v>127</c:v>
                </c:pt>
                <c:pt idx="27">
                  <c:v>166</c:v>
                </c:pt>
                <c:pt idx="28">
                  <c:v>162</c:v>
                </c:pt>
                <c:pt idx="29">
                  <c:v>164</c:v>
                </c:pt>
                <c:pt idx="30">
                  <c:v>191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Req2!$B$105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Req2!$C$105:$AG$105</c:f>
              <c:numCache>
                <c:ptCount val="31"/>
                <c:pt idx="0">
                  <c:v>22</c:v>
                </c:pt>
                <c:pt idx="1">
                  <c:v>26</c:v>
                </c:pt>
                <c:pt idx="2">
                  <c:v>23</c:v>
                </c:pt>
                <c:pt idx="3">
                  <c:v>16</c:v>
                </c:pt>
                <c:pt idx="4">
                  <c:v>17</c:v>
                </c:pt>
                <c:pt idx="5">
                  <c:v>19</c:v>
                </c:pt>
                <c:pt idx="6">
                  <c:v>15</c:v>
                </c:pt>
                <c:pt idx="7">
                  <c:v>15</c:v>
                </c:pt>
                <c:pt idx="8">
                  <c:v>16</c:v>
                </c:pt>
                <c:pt idx="9">
                  <c:v>16</c:v>
                </c:pt>
                <c:pt idx="10">
                  <c:v>19</c:v>
                </c:pt>
                <c:pt idx="11">
                  <c:v>20</c:v>
                </c:pt>
                <c:pt idx="12">
                  <c:v>23</c:v>
                </c:pt>
                <c:pt idx="13">
                  <c:v>23</c:v>
                </c:pt>
                <c:pt idx="14">
                  <c:v>22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18</c:v>
                </c:pt>
                <c:pt idx="19">
                  <c:v>16</c:v>
                </c:pt>
                <c:pt idx="20">
                  <c:v>16</c:v>
                </c:pt>
                <c:pt idx="21">
                  <c:v>17</c:v>
                </c:pt>
                <c:pt idx="22">
                  <c:v>20</c:v>
                </c:pt>
                <c:pt idx="23">
                  <c:v>20</c:v>
                </c:pt>
                <c:pt idx="24">
                  <c:v>21</c:v>
                </c:pt>
                <c:pt idx="25">
                  <c:v>14</c:v>
                </c:pt>
                <c:pt idx="26">
                  <c:v>12</c:v>
                </c:pt>
                <c:pt idx="27">
                  <c:v>14</c:v>
                </c:pt>
                <c:pt idx="28">
                  <c:v>17</c:v>
                </c:pt>
                <c:pt idx="29">
                  <c:v>11</c:v>
                </c:pt>
                <c:pt idx="30">
                  <c:v>14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Req2!$B$106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Req2!$C$106:$AG$106</c:f>
              <c:numCache>
                <c:ptCount val="31"/>
                <c:pt idx="0">
                  <c:v>1860</c:v>
                </c:pt>
                <c:pt idx="1">
                  <c:v>1725</c:v>
                </c:pt>
                <c:pt idx="2">
                  <c:v>1848</c:v>
                </c:pt>
                <c:pt idx="3">
                  <c:v>1841</c:v>
                </c:pt>
                <c:pt idx="4">
                  <c:v>1929</c:v>
                </c:pt>
                <c:pt idx="5">
                  <c:v>1916</c:v>
                </c:pt>
                <c:pt idx="6">
                  <c:v>1899</c:v>
                </c:pt>
                <c:pt idx="7">
                  <c:v>1722</c:v>
                </c:pt>
                <c:pt idx="8">
                  <c:v>2086</c:v>
                </c:pt>
                <c:pt idx="9">
                  <c:v>1922</c:v>
                </c:pt>
                <c:pt idx="10">
                  <c:v>1978</c:v>
                </c:pt>
                <c:pt idx="11">
                  <c:v>1949</c:v>
                </c:pt>
                <c:pt idx="12">
                  <c:v>1903</c:v>
                </c:pt>
                <c:pt idx="13">
                  <c:v>1840</c:v>
                </c:pt>
                <c:pt idx="14">
                  <c:v>1877</c:v>
                </c:pt>
                <c:pt idx="15">
                  <c:v>1897</c:v>
                </c:pt>
                <c:pt idx="16">
                  <c:v>1914</c:v>
                </c:pt>
                <c:pt idx="17">
                  <c:v>1900</c:v>
                </c:pt>
                <c:pt idx="18">
                  <c:v>1886</c:v>
                </c:pt>
                <c:pt idx="19">
                  <c:v>1813</c:v>
                </c:pt>
                <c:pt idx="20">
                  <c:v>1962</c:v>
                </c:pt>
                <c:pt idx="21">
                  <c:v>1805</c:v>
                </c:pt>
                <c:pt idx="22">
                  <c:v>1968</c:v>
                </c:pt>
                <c:pt idx="23">
                  <c:v>1965</c:v>
                </c:pt>
                <c:pt idx="24">
                  <c:v>1821</c:v>
                </c:pt>
                <c:pt idx="25">
                  <c:v>1839</c:v>
                </c:pt>
                <c:pt idx="26">
                  <c:v>1783</c:v>
                </c:pt>
                <c:pt idx="27">
                  <c:v>1858</c:v>
                </c:pt>
                <c:pt idx="28">
                  <c:v>1811</c:v>
                </c:pt>
                <c:pt idx="29">
                  <c:v>1710</c:v>
                </c:pt>
                <c:pt idx="30">
                  <c:v>1880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Req2!$B$107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Req2!$C$107:$AG$107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Req2!$B$109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Req2!$C$109:$AG$109</c:f>
              <c:numCache>
                <c:ptCount val="31"/>
                <c:pt idx="0">
                  <c:v>3866</c:v>
                </c:pt>
                <c:pt idx="1">
                  <c:v>3581</c:v>
                </c:pt>
                <c:pt idx="2">
                  <c:v>3795</c:v>
                </c:pt>
                <c:pt idx="3">
                  <c:v>3807</c:v>
                </c:pt>
                <c:pt idx="4">
                  <c:v>3905</c:v>
                </c:pt>
                <c:pt idx="5">
                  <c:v>3958</c:v>
                </c:pt>
                <c:pt idx="6">
                  <c:v>3844</c:v>
                </c:pt>
                <c:pt idx="7">
                  <c:v>3528</c:v>
                </c:pt>
                <c:pt idx="8">
                  <c:v>4182</c:v>
                </c:pt>
                <c:pt idx="9">
                  <c:v>3869</c:v>
                </c:pt>
                <c:pt idx="10">
                  <c:v>4066</c:v>
                </c:pt>
                <c:pt idx="11">
                  <c:v>4002</c:v>
                </c:pt>
                <c:pt idx="12">
                  <c:v>3856</c:v>
                </c:pt>
                <c:pt idx="13">
                  <c:v>3872</c:v>
                </c:pt>
                <c:pt idx="14">
                  <c:v>3967</c:v>
                </c:pt>
                <c:pt idx="15">
                  <c:v>3948</c:v>
                </c:pt>
                <c:pt idx="16">
                  <c:v>3974</c:v>
                </c:pt>
                <c:pt idx="17">
                  <c:v>4089</c:v>
                </c:pt>
                <c:pt idx="18">
                  <c:v>3944</c:v>
                </c:pt>
                <c:pt idx="19">
                  <c:v>3815</c:v>
                </c:pt>
                <c:pt idx="20">
                  <c:v>4069</c:v>
                </c:pt>
                <c:pt idx="21">
                  <c:v>3680</c:v>
                </c:pt>
                <c:pt idx="22">
                  <c:v>3943</c:v>
                </c:pt>
                <c:pt idx="23">
                  <c:v>3900</c:v>
                </c:pt>
                <c:pt idx="24">
                  <c:v>3691</c:v>
                </c:pt>
                <c:pt idx="25">
                  <c:v>3831</c:v>
                </c:pt>
                <c:pt idx="26">
                  <c:v>3598</c:v>
                </c:pt>
                <c:pt idx="27">
                  <c:v>3991</c:v>
                </c:pt>
                <c:pt idx="28">
                  <c:v>3916</c:v>
                </c:pt>
                <c:pt idx="29">
                  <c:v>3689</c:v>
                </c:pt>
                <c:pt idx="30">
                  <c:v>4120</c:v>
                </c:pt>
              </c:numCache>
            </c:numRef>
          </c:val>
          <c:smooth val="0"/>
        </c:ser>
        <c:marker val="1"/>
        <c:axId val="41374886"/>
        <c:axId val="36829655"/>
      </c:lineChart>
      <c:dateAx>
        <c:axId val="41374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29655"/>
        <c:crosses val="autoZero"/>
        <c:auto val="0"/>
        <c:noMultiLvlLbl val="0"/>
      </c:dateAx>
      <c:valAx>
        <c:axId val="36829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13748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572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Part de marché %  unités mensuelles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- 162 médecins visités au 16/01/2007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5225"/>
          <c:w val="0.754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Req3!$B$115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Req3!$C$115:$AG$115</c:f>
              <c:numCache>
                <c:ptCount val="31"/>
                <c:pt idx="0">
                  <c:v>0.17759947956196465</c:v>
                </c:pt>
                <c:pt idx="1">
                  <c:v>0.1798620044439247</c:v>
                </c:pt>
                <c:pt idx="2">
                  <c:v>0.17745302713987474</c:v>
                </c:pt>
                <c:pt idx="3">
                  <c:v>0.17420066152149946</c:v>
                </c:pt>
                <c:pt idx="4">
                  <c:v>0.17196985555788152</c:v>
                </c:pt>
                <c:pt idx="5">
                  <c:v>0.17215738923887225</c:v>
                </c:pt>
                <c:pt idx="6">
                  <c:v>0.17410857693543205</c:v>
                </c:pt>
                <c:pt idx="7">
                  <c:v>0.16779159265837773</c:v>
                </c:pt>
                <c:pt idx="8">
                  <c:v>0.16916659270435785</c:v>
                </c:pt>
                <c:pt idx="9">
                  <c:v>0.16471188169301376</c:v>
                </c:pt>
                <c:pt idx="10">
                  <c:v>0.16442280148954455</c:v>
                </c:pt>
                <c:pt idx="11">
                  <c:v>0.16943092660641573</c:v>
                </c:pt>
                <c:pt idx="12">
                  <c:v>0.1637694419030192</c:v>
                </c:pt>
                <c:pt idx="13">
                  <c:v>0.17052051559578865</c:v>
                </c:pt>
                <c:pt idx="14">
                  <c:v>0.16752221125370187</c:v>
                </c:pt>
                <c:pt idx="15">
                  <c:v>0.16656828020464384</c:v>
                </c:pt>
                <c:pt idx="16">
                  <c:v>0.16828756674294432</c:v>
                </c:pt>
                <c:pt idx="17">
                  <c:v>0.1665425432880283</c:v>
                </c:pt>
                <c:pt idx="18">
                  <c:v>0.16542896228258747</c:v>
                </c:pt>
                <c:pt idx="19">
                  <c:v>0.16301315265045835</c:v>
                </c:pt>
                <c:pt idx="20">
                  <c:v>0.1619454836985569</c:v>
                </c:pt>
                <c:pt idx="21">
                  <c:v>0.1562625451625853</c:v>
                </c:pt>
                <c:pt idx="22">
                  <c:v>0.15515108676444603</c:v>
                </c:pt>
                <c:pt idx="23">
                  <c:v>0.15835044184593414</c:v>
                </c:pt>
                <c:pt idx="24">
                  <c:v>0.15705955453589523</c:v>
                </c:pt>
                <c:pt idx="25">
                  <c:v>0.15108695652173912</c:v>
                </c:pt>
                <c:pt idx="26">
                  <c:v>0.1556484542096053</c:v>
                </c:pt>
                <c:pt idx="27">
                  <c:v>0.15933060228362242</c:v>
                </c:pt>
                <c:pt idx="28">
                  <c:v>0.15849125034001268</c:v>
                </c:pt>
                <c:pt idx="29">
                  <c:v>0.15658465991316933</c:v>
                </c:pt>
                <c:pt idx="30">
                  <c:v>0.15790356394129978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Req3!$B$116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Req3!$C$116:$AG$116</c:f>
              <c:numCache>
                <c:ptCount val="31"/>
                <c:pt idx="0">
                  <c:v>0.2863493440312263</c:v>
                </c:pt>
                <c:pt idx="1">
                  <c:v>0.27751140217518416</c:v>
                </c:pt>
                <c:pt idx="2">
                  <c:v>0.2867816723436985</c:v>
                </c:pt>
                <c:pt idx="3">
                  <c:v>0.28357221609702316</c:v>
                </c:pt>
                <c:pt idx="4">
                  <c:v>0.2823948084571907</c:v>
                </c:pt>
                <c:pt idx="5">
                  <c:v>0.2774966436021894</c:v>
                </c:pt>
                <c:pt idx="6">
                  <c:v>0.2696220152050541</c:v>
                </c:pt>
                <c:pt idx="7">
                  <c:v>0.2684428656009473</c:v>
                </c:pt>
                <c:pt idx="8">
                  <c:v>0.2666193307890299</c:v>
                </c:pt>
                <c:pt idx="9">
                  <c:v>0.2601733809280979</c:v>
                </c:pt>
                <c:pt idx="10">
                  <c:v>0.26191158216365895</c:v>
                </c:pt>
                <c:pt idx="11">
                  <c:v>0.26229019763630945</c:v>
                </c:pt>
                <c:pt idx="12">
                  <c:v>0.25719223340449326</c:v>
                </c:pt>
                <c:pt idx="13">
                  <c:v>0.2515005411787858</c:v>
                </c:pt>
                <c:pt idx="14">
                  <c:v>0.2620927936821323</c:v>
                </c:pt>
                <c:pt idx="15">
                  <c:v>0.2538370720188902</c:v>
                </c:pt>
                <c:pt idx="16">
                  <c:v>0.24523264683447749</c:v>
                </c:pt>
                <c:pt idx="17">
                  <c:v>0.25125674920871344</c:v>
                </c:pt>
                <c:pt idx="18">
                  <c:v>0.246922024623803</c:v>
                </c:pt>
                <c:pt idx="19">
                  <c:v>0.23884017536867277</c:v>
                </c:pt>
                <c:pt idx="20">
                  <c:v>0.23962230536255122</c:v>
                </c:pt>
                <c:pt idx="21">
                  <c:v>0.23123243677238056</c:v>
                </c:pt>
                <c:pt idx="22">
                  <c:v>0.2297225658243506</c:v>
                </c:pt>
                <c:pt idx="23">
                  <c:v>0.22181558511113095</c:v>
                </c:pt>
                <c:pt idx="24">
                  <c:v>0.2182391740751362</c:v>
                </c:pt>
                <c:pt idx="25">
                  <c:v>0.2227355072463768</c:v>
                </c:pt>
                <c:pt idx="26">
                  <c:v>0.21028582539373905</c:v>
                </c:pt>
                <c:pt idx="27">
                  <c:v>0.21642116272988757</c:v>
                </c:pt>
                <c:pt idx="28">
                  <c:v>0.21343730165926195</c:v>
                </c:pt>
                <c:pt idx="29">
                  <c:v>0.20849011095031356</c:v>
                </c:pt>
                <c:pt idx="30">
                  <c:v>0.21425576519916142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Req3!$B$117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Req3!$C$117:$AG$117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0.000803356243863251</c:v>
                </c:pt>
                <c:pt idx="24">
                  <c:v>0.002294235732721537</c:v>
                </c:pt>
                <c:pt idx="25">
                  <c:v>0.0028079710144927536</c:v>
                </c:pt>
                <c:pt idx="26">
                  <c:v>0.003986000388878087</c:v>
                </c:pt>
                <c:pt idx="27">
                  <c:v>0.006275603591039833</c:v>
                </c:pt>
                <c:pt idx="28">
                  <c:v>0.007888294496327863</c:v>
                </c:pt>
                <c:pt idx="29">
                  <c:v>0.008683068017366137</c:v>
                </c:pt>
                <c:pt idx="30">
                  <c:v>0.009979035639412997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Req3!$B$118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Req3!$C$118:$AG$118</c:f>
              <c:numCache>
                <c:ptCount val="31"/>
                <c:pt idx="0">
                  <c:v>0.060067223246232246</c:v>
                </c:pt>
                <c:pt idx="1">
                  <c:v>0.06408607180446732</c:v>
                </c:pt>
                <c:pt idx="2">
                  <c:v>0.05988352928249643</c:v>
                </c:pt>
                <c:pt idx="3">
                  <c:v>0.06328555678059537</c:v>
                </c:pt>
                <c:pt idx="4">
                  <c:v>0.06301025748377644</c:v>
                </c:pt>
                <c:pt idx="5">
                  <c:v>0.06661158731797996</c:v>
                </c:pt>
                <c:pt idx="6">
                  <c:v>0.06638826426812293</c:v>
                </c:pt>
                <c:pt idx="7">
                  <c:v>0.0670219064535228</c:v>
                </c:pt>
                <c:pt idx="8">
                  <c:v>0.06487973728587912</c:v>
                </c:pt>
                <c:pt idx="9">
                  <c:v>0.06700662927078022</c:v>
                </c:pt>
                <c:pt idx="10">
                  <c:v>0.06597918456984628</c:v>
                </c:pt>
                <c:pt idx="11">
                  <c:v>0.06475320289999006</c:v>
                </c:pt>
                <c:pt idx="12">
                  <c:v>0.06546711395750737</c:v>
                </c:pt>
                <c:pt idx="13">
                  <c:v>0.06494145429499164</c:v>
                </c:pt>
                <c:pt idx="14">
                  <c:v>0.061697926949654494</c:v>
                </c:pt>
                <c:pt idx="15">
                  <c:v>0.06552538370720189</c:v>
                </c:pt>
                <c:pt idx="16">
                  <c:v>0.06578947368421052</c:v>
                </c:pt>
                <c:pt idx="17">
                  <c:v>0.0671197169986967</c:v>
                </c:pt>
                <c:pt idx="18">
                  <c:v>0.06458862614813367</c:v>
                </c:pt>
                <c:pt idx="19">
                  <c:v>0.069649262654444</c:v>
                </c:pt>
                <c:pt idx="20">
                  <c:v>0.06458221984678425</c:v>
                </c:pt>
                <c:pt idx="21">
                  <c:v>0.06372942593336009</c:v>
                </c:pt>
                <c:pt idx="22">
                  <c:v>0.06335041526771515</c:v>
                </c:pt>
                <c:pt idx="23">
                  <c:v>0.061412121753101845</c:v>
                </c:pt>
                <c:pt idx="24">
                  <c:v>0.06175317847242137</c:v>
                </c:pt>
                <c:pt idx="25">
                  <c:v>0.06222826086956522</c:v>
                </c:pt>
                <c:pt idx="26">
                  <c:v>0.059887225354851255</c:v>
                </c:pt>
                <c:pt idx="27">
                  <c:v>0.06075132920770505</c:v>
                </c:pt>
                <c:pt idx="28">
                  <c:v>0.05685012240456977</c:v>
                </c:pt>
                <c:pt idx="29">
                  <c:v>0.05923781958514231</c:v>
                </c:pt>
                <c:pt idx="30">
                  <c:v>0.05492662473794549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Req3!$B$119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Req3!$C$119:$AG$119</c:f>
              <c:numCache>
                <c:ptCount val="31"/>
                <c:pt idx="0">
                  <c:v>0.24005204380353465</c:v>
                </c:pt>
                <c:pt idx="1">
                  <c:v>0.24277862238334696</c:v>
                </c:pt>
                <c:pt idx="2">
                  <c:v>0.24052301944841226</c:v>
                </c:pt>
                <c:pt idx="3">
                  <c:v>0.2442116868798236</c:v>
                </c:pt>
                <c:pt idx="4">
                  <c:v>0.2430395645802805</c:v>
                </c:pt>
                <c:pt idx="5">
                  <c:v>0.2494061757719715</c:v>
                </c:pt>
                <c:pt idx="6">
                  <c:v>0.24510118856408608</c:v>
                </c:pt>
                <c:pt idx="7">
                  <c:v>0.2526939017169923</c:v>
                </c:pt>
                <c:pt idx="8">
                  <c:v>0.24780331942841927</c:v>
                </c:pt>
                <c:pt idx="9">
                  <c:v>0.25497195308516063</c:v>
                </c:pt>
                <c:pt idx="10">
                  <c:v>0.24959419459562684</c:v>
                </c:pt>
                <c:pt idx="11">
                  <c:v>0.24282451087496276</c:v>
                </c:pt>
                <c:pt idx="12">
                  <c:v>0.24529836332215108</c:v>
                </c:pt>
                <c:pt idx="13">
                  <c:v>0.2484502607497786</c:v>
                </c:pt>
                <c:pt idx="14">
                  <c:v>0.24531095755182625</c:v>
                </c:pt>
                <c:pt idx="15">
                  <c:v>0.2492129083038174</c:v>
                </c:pt>
                <c:pt idx="16">
                  <c:v>0.25219298245614036</c:v>
                </c:pt>
                <c:pt idx="17">
                  <c:v>0.25228076708248</c:v>
                </c:pt>
                <c:pt idx="18">
                  <c:v>0.2514168458080907</c:v>
                </c:pt>
                <c:pt idx="19">
                  <c:v>0.25488242327620564</c:v>
                </c:pt>
                <c:pt idx="20">
                  <c:v>0.2483520399073579</c:v>
                </c:pt>
                <c:pt idx="21">
                  <c:v>0.25893215576073864</c:v>
                </c:pt>
                <c:pt idx="22">
                  <c:v>0.25393179006891675</c:v>
                </c:pt>
                <c:pt idx="23">
                  <c:v>0.25136124252432385</c:v>
                </c:pt>
                <c:pt idx="24">
                  <c:v>0.2517923716661887</c:v>
                </c:pt>
                <c:pt idx="25">
                  <c:v>0.25625</c:v>
                </c:pt>
                <c:pt idx="26">
                  <c:v>0.2528679758895586</c:v>
                </c:pt>
                <c:pt idx="27">
                  <c:v>0.2458816351433801</c:v>
                </c:pt>
                <c:pt idx="28">
                  <c:v>0.24217970804243358</c:v>
                </c:pt>
                <c:pt idx="29">
                  <c:v>0.24756391702846117</c:v>
                </c:pt>
                <c:pt idx="30">
                  <c:v>0.2428511530398323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Req3!$B$120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Req3!$C$120:$AG$120</c:f>
              <c:numCache>
                <c:ptCount val="31"/>
                <c:pt idx="0">
                  <c:v>0.02656402472080668</c:v>
                </c:pt>
                <c:pt idx="1">
                  <c:v>0.028534674307098586</c:v>
                </c:pt>
                <c:pt idx="2">
                  <c:v>0.02659048456213603</c:v>
                </c:pt>
                <c:pt idx="3">
                  <c:v>0.030760749724366043</c:v>
                </c:pt>
                <c:pt idx="4">
                  <c:v>0.030981787732886748</c:v>
                </c:pt>
                <c:pt idx="5">
                  <c:v>0.032531240318083236</c:v>
                </c:pt>
                <c:pt idx="6">
                  <c:v>0.03715601242103009</c:v>
                </c:pt>
                <c:pt idx="7">
                  <c:v>0.035523978685612786</c:v>
                </c:pt>
                <c:pt idx="8">
                  <c:v>0.03851957042691045</c:v>
                </c:pt>
                <c:pt idx="9">
                  <c:v>0.038755736868944415</c:v>
                </c:pt>
                <c:pt idx="10">
                  <c:v>0.041344409433782106</c:v>
                </c:pt>
                <c:pt idx="11">
                  <c:v>0.04061972390505512</c:v>
                </c:pt>
                <c:pt idx="12">
                  <c:v>0.040154518654061194</c:v>
                </c:pt>
                <c:pt idx="13">
                  <c:v>0.043195906720456555</c:v>
                </c:pt>
                <c:pt idx="14">
                  <c:v>0.0420533070088845</c:v>
                </c:pt>
                <c:pt idx="15">
                  <c:v>0.045946477764659585</c:v>
                </c:pt>
                <c:pt idx="16">
                  <c:v>0.04710144927536232</c:v>
                </c:pt>
                <c:pt idx="17">
                  <c:v>0.046732452057345</c:v>
                </c:pt>
                <c:pt idx="18">
                  <c:v>0.04680476841899551</c:v>
                </c:pt>
                <c:pt idx="19">
                  <c:v>0.05450378636907134</c:v>
                </c:pt>
                <c:pt idx="20">
                  <c:v>0.061731694281133086</c:v>
                </c:pt>
                <c:pt idx="21">
                  <c:v>0.06533520674427941</c:v>
                </c:pt>
                <c:pt idx="22">
                  <c:v>0.07183247923661425</c:v>
                </c:pt>
                <c:pt idx="23">
                  <c:v>0.07953226814246184</c:v>
                </c:pt>
                <c:pt idx="24">
                  <c:v>0.08393079055539623</c:v>
                </c:pt>
                <c:pt idx="25">
                  <c:v>0.08351449275362319</c:v>
                </c:pt>
                <c:pt idx="26">
                  <c:v>0.0945945945945946</c:v>
                </c:pt>
                <c:pt idx="27">
                  <c:v>0.09108341323106424</c:v>
                </c:pt>
                <c:pt idx="28">
                  <c:v>0.0975609756097561</c:v>
                </c:pt>
                <c:pt idx="29">
                  <c:v>0.09821514712976363</c:v>
                </c:pt>
                <c:pt idx="30">
                  <c:v>0.09979035639412998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Req3!$B$121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Req3!$C$121:$AG$121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0.00064246707356248</c:v>
                </c:pt>
                <c:pt idx="7">
                  <c:v>0.005091770278271166</c:v>
                </c:pt>
                <c:pt idx="8">
                  <c:v>0.011804384485666104</c:v>
                </c:pt>
                <c:pt idx="9">
                  <c:v>0.01754207037225905</c:v>
                </c:pt>
                <c:pt idx="10">
                  <c:v>0.02043349565549508</c:v>
                </c:pt>
                <c:pt idx="11">
                  <c:v>0.024927996821928693</c:v>
                </c:pt>
                <c:pt idx="12">
                  <c:v>0.03059875978448714</c:v>
                </c:pt>
                <c:pt idx="13">
                  <c:v>0.02873167371839024</c:v>
                </c:pt>
                <c:pt idx="14">
                  <c:v>0.030207305034550838</c:v>
                </c:pt>
                <c:pt idx="15">
                  <c:v>0.03020464384100748</c:v>
                </c:pt>
                <c:pt idx="16">
                  <c:v>0.03241800152555301</c:v>
                </c:pt>
                <c:pt idx="17">
                  <c:v>0.03407186743623161</c:v>
                </c:pt>
                <c:pt idx="18">
                  <c:v>0.03625170998632011</c:v>
                </c:pt>
                <c:pt idx="19">
                  <c:v>0.038262255878836186</c:v>
                </c:pt>
                <c:pt idx="20">
                  <c:v>0.035987885266345984</c:v>
                </c:pt>
                <c:pt idx="21">
                  <c:v>0.0388398233641108</c:v>
                </c:pt>
                <c:pt idx="22">
                  <c:v>0.03684396536490546</c:v>
                </c:pt>
                <c:pt idx="23">
                  <c:v>0.036418816388467376</c:v>
                </c:pt>
                <c:pt idx="24">
                  <c:v>0.03823726221202562</c:v>
                </c:pt>
                <c:pt idx="25">
                  <c:v>0.0375</c:v>
                </c:pt>
                <c:pt idx="26">
                  <c:v>0.03558234493486292</c:v>
                </c:pt>
                <c:pt idx="27">
                  <c:v>0.037827943868212324</c:v>
                </c:pt>
                <c:pt idx="28">
                  <c:v>0.04052951310182247</c:v>
                </c:pt>
                <c:pt idx="29">
                  <c:v>0.03888084901109503</c:v>
                </c:pt>
                <c:pt idx="30">
                  <c:v>0.03865828092243186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Req3!$B$122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Req3!$C$122:$AG$122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0.000586281024037522</c:v>
                </c:pt>
                <c:pt idx="19">
                  <c:v>0.0018931845356715824</c:v>
                </c:pt>
                <c:pt idx="20">
                  <c:v>0.0035631569570639585</c:v>
                </c:pt>
                <c:pt idx="21">
                  <c:v>0.005419510236852669</c:v>
                </c:pt>
                <c:pt idx="22">
                  <c:v>0.007775225304824174</c:v>
                </c:pt>
                <c:pt idx="23">
                  <c:v>0.00865839507274837</c:v>
                </c:pt>
                <c:pt idx="24">
                  <c:v>0.011471178663607686</c:v>
                </c:pt>
                <c:pt idx="25">
                  <c:v>0.011141304347826087</c:v>
                </c:pt>
                <c:pt idx="26">
                  <c:v>0.0131246354267937</c:v>
                </c:pt>
                <c:pt idx="27">
                  <c:v>0.015776170138586246</c:v>
                </c:pt>
                <c:pt idx="28">
                  <c:v>0.015685918940973795</c:v>
                </c:pt>
                <c:pt idx="29">
                  <c:v>0.0170767004341534</c:v>
                </c:pt>
                <c:pt idx="30">
                  <c:v>0.017526205450733752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Req3!$B$123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Req3!$C$123:$AG$123</c:f>
              <c:numCache>
                <c:ptCount val="31"/>
                <c:pt idx="0">
                  <c:v>0.0022769164046405723</c:v>
                </c:pt>
                <c:pt idx="1">
                  <c:v>0.003508361595135072</c:v>
                </c:pt>
                <c:pt idx="2">
                  <c:v>0.002746950884518185</c:v>
                </c:pt>
                <c:pt idx="3">
                  <c:v>0.001984564498346196</c:v>
                </c:pt>
                <c:pt idx="4">
                  <c:v>0.0019886958342055683</c:v>
                </c:pt>
                <c:pt idx="5">
                  <c:v>0.0022720231333264486</c:v>
                </c:pt>
                <c:pt idx="6">
                  <c:v>0.0016061676839061998</c:v>
                </c:pt>
                <c:pt idx="7">
                  <c:v>0.0020130254588513912</c:v>
                </c:pt>
                <c:pt idx="8">
                  <c:v>0.0015975858702405254</c:v>
                </c:pt>
                <c:pt idx="9">
                  <c:v>0.001631820499745028</c:v>
                </c:pt>
                <c:pt idx="10">
                  <c:v>0.0019096724911677647</c:v>
                </c:pt>
                <c:pt idx="11">
                  <c:v>0.0021849240242327937</c:v>
                </c:pt>
                <c:pt idx="12">
                  <c:v>0.0023381112127681203</c:v>
                </c:pt>
                <c:pt idx="13">
                  <c:v>0.0026566958575223853</c:v>
                </c:pt>
                <c:pt idx="14">
                  <c:v>0.002764067127344521</c:v>
                </c:pt>
                <c:pt idx="15">
                  <c:v>0.0023612750885478157</c:v>
                </c:pt>
                <c:pt idx="16">
                  <c:v>0.002383676582761251</c:v>
                </c:pt>
                <c:pt idx="17">
                  <c:v>0.0023273133494693724</c:v>
                </c:pt>
                <c:pt idx="18">
                  <c:v>0.0017588430721125659</c:v>
                </c:pt>
                <c:pt idx="19">
                  <c:v>0.0015942606616181746</c:v>
                </c:pt>
                <c:pt idx="20">
                  <c:v>0.0015143417067521824</c:v>
                </c:pt>
                <c:pt idx="21">
                  <c:v>0.0018065034122842231</c:v>
                </c:pt>
                <c:pt idx="22">
                  <c:v>0.0020321611592154093</c:v>
                </c:pt>
                <c:pt idx="23">
                  <c:v>0.0017852360974738909</c:v>
                </c:pt>
                <c:pt idx="24">
                  <c:v>0.0021986425771914732</c:v>
                </c:pt>
                <c:pt idx="25">
                  <c:v>0.0012681159420289854</c:v>
                </c:pt>
                <c:pt idx="26">
                  <c:v>0.0012638537818393933</c:v>
                </c:pt>
                <c:pt idx="27">
                  <c:v>0.0013074174147999652</c:v>
                </c:pt>
                <c:pt idx="28">
                  <c:v>0.0017227309819566597</c:v>
                </c:pt>
                <c:pt idx="29">
                  <c:v>0.0011577424023154848</c:v>
                </c:pt>
                <c:pt idx="30">
                  <c:v>0.0014255765199161425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Req3!$B$124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Req3!$C$124:$AG$124</c:f>
              <c:numCache>
                <c:ptCount val="31"/>
                <c:pt idx="0">
                  <c:v>0.20709096823159492</c:v>
                </c:pt>
                <c:pt idx="1">
                  <c:v>0.20371886329084318</c:v>
                </c:pt>
                <c:pt idx="2">
                  <c:v>0.20602131633886386</c:v>
                </c:pt>
                <c:pt idx="3">
                  <c:v>0.2019845644983462</c:v>
                </c:pt>
                <c:pt idx="4">
                  <c:v>0.2066150303537785</c:v>
                </c:pt>
                <c:pt idx="5">
                  <c:v>0.1995249406175772</c:v>
                </c:pt>
                <c:pt idx="6">
                  <c:v>0.2053753078488061</c:v>
                </c:pt>
                <c:pt idx="7">
                  <c:v>0.2014209591474245</c:v>
                </c:pt>
                <c:pt idx="8">
                  <c:v>0.19960947900949677</c:v>
                </c:pt>
                <c:pt idx="9">
                  <c:v>0.19520652728199897</c:v>
                </c:pt>
                <c:pt idx="10">
                  <c:v>0.19440465960087844</c:v>
                </c:pt>
                <c:pt idx="11">
                  <c:v>0.19296851723110536</c:v>
                </c:pt>
                <c:pt idx="12">
                  <c:v>0.19518145776151266</c:v>
                </c:pt>
                <c:pt idx="13">
                  <c:v>0.19000295188428615</c:v>
                </c:pt>
                <c:pt idx="14">
                  <c:v>0.18835143139190524</c:v>
                </c:pt>
                <c:pt idx="15">
                  <c:v>0.1863439590712318</c:v>
                </c:pt>
                <c:pt idx="16">
                  <c:v>0.18659420289855072</c:v>
                </c:pt>
                <c:pt idx="17">
                  <c:v>0.17966859057903556</c:v>
                </c:pt>
                <c:pt idx="18">
                  <c:v>0.18624193863591948</c:v>
                </c:pt>
                <c:pt idx="19">
                  <c:v>0.17736149860502193</c:v>
                </c:pt>
                <c:pt idx="20">
                  <c:v>0.18270087297345447</c:v>
                </c:pt>
                <c:pt idx="21">
                  <c:v>0.17844239261340827</c:v>
                </c:pt>
                <c:pt idx="22">
                  <c:v>0.1793603110090122</c:v>
                </c:pt>
                <c:pt idx="23">
                  <c:v>0.17986253682049452</c:v>
                </c:pt>
                <c:pt idx="24">
                  <c:v>0.17302361150941592</c:v>
                </c:pt>
                <c:pt idx="25">
                  <c:v>0.17146739130434782</c:v>
                </c:pt>
                <c:pt idx="26">
                  <c:v>0.17275909002527706</c:v>
                </c:pt>
                <c:pt idx="27">
                  <c:v>0.16534472239170225</c:v>
                </c:pt>
                <c:pt idx="28">
                  <c:v>0.16565418442288513</c:v>
                </c:pt>
                <c:pt idx="29">
                  <c:v>0.16410998552821998</c:v>
                </c:pt>
                <c:pt idx="30">
                  <c:v>0.16243186582809224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Req3!$B$125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Req3!$C$125:$AG$125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0.00025157232704402514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Req3!$B$127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Req3!$C$114:$AG$114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Req3!$C$127:$AG$127</c:f>
              <c:numCache>
                <c:ptCount val="31"/>
                <c:pt idx="0">
                  <c:v>0.46394882359319095</c:v>
                </c:pt>
                <c:pt idx="1">
                  <c:v>0.45737340661910886</c:v>
                </c:pt>
                <c:pt idx="2">
                  <c:v>0.4642346994835732</c:v>
                </c:pt>
                <c:pt idx="3">
                  <c:v>0.4577728776185226</c:v>
                </c:pt>
                <c:pt idx="4">
                  <c:v>0.4543646640150722</c:v>
                </c:pt>
                <c:pt idx="5">
                  <c:v>0.44965403284106165</c:v>
                </c:pt>
                <c:pt idx="6">
                  <c:v>0.44373059214048616</c:v>
                </c:pt>
                <c:pt idx="7">
                  <c:v>0.43623445825932505</c:v>
                </c:pt>
                <c:pt idx="8">
                  <c:v>0.4357859234933878</c:v>
                </c:pt>
                <c:pt idx="9">
                  <c:v>0.4248852626211117</c:v>
                </c:pt>
                <c:pt idx="10">
                  <c:v>0.4263343836532035</c:v>
                </c:pt>
                <c:pt idx="11">
                  <c:v>0.4317211242427252</c:v>
                </c:pt>
                <c:pt idx="12">
                  <c:v>0.42096167530751244</c:v>
                </c:pt>
                <c:pt idx="13">
                  <c:v>0.4220210567745744</c:v>
                </c:pt>
                <c:pt idx="14">
                  <c:v>0.42961500493583415</c:v>
                </c:pt>
                <c:pt idx="15">
                  <c:v>0.42040535222353403</c:v>
                </c:pt>
                <c:pt idx="16">
                  <c:v>0.4135202135774218</c:v>
                </c:pt>
                <c:pt idx="17">
                  <c:v>0.41779929249674175</c:v>
                </c:pt>
                <c:pt idx="18">
                  <c:v>0.41235098690639044</c:v>
                </c:pt>
                <c:pt idx="19">
                  <c:v>0.40185332801913115</c:v>
                </c:pt>
                <c:pt idx="20">
                  <c:v>0.4015677890611081</c:v>
                </c:pt>
                <c:pt idx="21">
                  <c:v>0.3874949819349659</c:v>
                </c:pt>
                <c:pt idx="22">
                  <c:v>0.38487365258879663</c:v>
                </c:pt>
                <c:pt idx="23">
                  <c:v>0.3809693832009283</c:v>
                </c:pt>
                <c:pt idx="24">
                  <c:v>0.377592964343753</c:v>
                </c:pt>
                <c:pt idx="25">
                  <c:v>0.3766304347826087</c:v>
                </c:pt>
                <c:pt idx="26">
                  <c:v>0.36992027999222243</c:v>
                </c:pt>
                <c:pt idx="27">
                  <c:v>0.38202736860454983</c:v>
                </c:pt>
                <c:pt idx="28">
                  <c:v>0.3798168464956025</c:v>
                </c:pt>
                <c:pt idx="29">
                  <c:v>0.373757838880849</c:v>
                </c:pt>
                <c:pt idx="30">
                  <c:v>0.38213836477987423</c:v>
                </c:pt>
              </c:numCache>
            </c:numRef>
          </c:val>
          <c:smooth val="0"/>
        </c:ser>
        <c:marker val="1"/>
        <c:axId val="63031440"/>
        <c:axId val="30412049"/>
      </c:lineChart>
      <c:dateAx>
        <c:axId val="63031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38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0412049"/>
        <c:crosses val="autoZero"/>
        <c:auto val="0"/>
        <c:noMultiLvlLbl val="0"/>
      </c:dateAx>
      <c:valAx>
        <c:axId val="30412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Nbre de boites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0314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46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Nombres de boites  mensuelles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- 162 médecins visités au 16/01/2007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73"/>
          <c:w val="0.753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Req3!$B$97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Req3!$C$97:$AG$97</c:f>
              <c:numCache>
                <c:ptCount val="31"/>
                <c:pt idx="0">
                  <c:v>1638</c:v>
                </c:pt>
                <c:pt idx="1">
                  <c:v>1538</c:v>
                </c:pt>
                <c:pt idx="2">
                  <c:v>1615</c:v>
                </c:pt>
                <c:pt idx="3">
                  <c:v>1580</c:v>
                </c:pt>
                <c:pt idx="4">
                  <c:v>1643</c:v>
                </c:pt>
                <c:pt idx="5">
                  <c:v>1667</c:v>
                </c:pt>
                <c:pt idx="6">
                  <c:v>1626</c:v>
                </c:pt>
                <c:pt idx="7">
                  <c:v>1417</c:v>
                </c:pt>
                <c:pt idx="8">
                  <c:v>1906</c:v>
                </c:pt>
                <c:pt idx="9">
                  <c:v>1615</c:v>
                </c:pt>
                <c:pt idx="10">
                  <c:v>1722</c:v>
                </c:pt>
                <c:pt idx="11">
                  <c:v>1706</c:v>
                </c:pt>
                <c:pt idx="12">
                  <c:v>1611</c:v>
                </c:pt>
                <c:pt idx="13">
                  <c:v>1733</c:v>
                </c:pt>
                <c:pt idx="14">
                  <c:v>1697</c:v>
                </c:pt>
                <c:pt idx="15">
                  <c:v>1693</c:v>
                </c:pt>
                <c:pt idx="16">
                  <c:v>1765</c:v>
                </c:pt>
                <c:pt idx="17">
                  <c:v>1789</c:v>
                </c:pt>
                <c:pt idx="18">
                  <c:v>1693</c:v>
                </c:pt>
                <c:pt idx="19">
                  <c:v>1636</c:v>
                </c:pt>
                <c:pt idx="20">
                  <c:v>1818</c:v>
                </c:pt>
                <c:pt idx="21">
                  <c:v>1557</c:v>
                </c:pt>
                <c:pt idx="22">
                  <c:v>1756</c:v>
                </c:pt>
                <c:pt idx="23">
                  <c:v>1774</c:v>
                </c:pt>
                <c:pt idx="24">
                  <c:v>1643</c:v>
                </c:pt>
                <c:pt idx="25">
                  <c:v>1668</c:v>
                </c:pt>
                <c:pt idx="26">
                  <c:v>1601</c:v>
                </c:pt>
                <c:pt idx="27">
                  <c:v>1828</c:v>
                </c:pt>
                <c:pt idx="28">
                  <c:v>1748</c:v>
                </c:pt>
                <c:pt idx="29">
                  <c:v>1623</c:v>
                </c:pt>
                <c:pt idx="30">
                  <c:v>1883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Req3!$B$98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Req3!$C$98:$AG$98</c:f>
              <c:numCache>
                <c:ptCount val="31"/>
                <c:pt idx="0">
                  <c:v>2641</c:v>
                </c:pt>
                <c:pt idx="1">
                  <c:v>2373</c:v>
                </c:pt>
                <c:pt idx="2">
                  <c:v>2610</c:v>
                </c:pt>
                <c:pt idx="3">
                  <c:v>2572</c:v>
                </c:pt>
                <c:pt idx="4">
                  <c:v>2698</c:v>
                </c:pt>
                <c:pt idx="5">
                  <c:v>2687</c:v>
                </c:pt>
                <c:pt idx="6">
                  <c:v>2518</c:v>
                </c:pt>
                <c:pt idx="7">
                  <c:v>2267</c:v>
                </c:pt>
                <c:pt idx="8">
                  <c:v>3004</c:v>
                </c:pt>
                <c:pt idx="9">
                  <c:v>2551</c:v>
                </c:pt>
                <c:pt idx="10">
                  <c:v>2743</c:v>
                </c:pt>
                <c:pt idx="11">
                  <c:v>2641</c:v>
                </c:pt>
                <c:pt idx="12">
                  <c:v>2530</c:v>
                </c:pt>
                <c:pt idx="13">
                  <c:v>2556</c:v>
                </c:pt>
                <c:pt idx="14">
                  <c:v>2655</c:v>
                </c:pt>
                <c:pt idx="15">
                  <c:v>2580</c:v>
                </c:pt>
                <c:pt idx="16">
                  <c:v>2572</c:v>
                </c:pt>
                <c:pt idx="17">
                  <c:v>2699</c:v>
                </c:pt>
                <c:pt idx="18">
                  <c:v>2527</c:v>
                </c:pt>
                <c:pt idx="19">
                  <c:v>2397</c:v>
                </c:pt>
                <c:pt idx="20">
                  <c:v>2690</c:v>
                </c:pt>
                <c:pt idx="21">
                  <c:v>2304</c:v>
                </c:pt>
                <c:pt idx="22">
                  <c:v>2600</c:v>
                </c:pt>
                <c:pt idx="23">
                  <c:v>2485</c:v>
                </c:pt>
                <c:pt idx="24">
                  <c:v>2283</c:v>
                </c:pt>
                <c:pt idx="25">
                  <c:v>2459</c:v>
                </c:pt>
                <c:pt idx="26">
                  <c:v>2163</c:v>
                </c:pt>
                <c:pt idx="27">
                  <c:v>2483</c:v>
                </c:pt>
                <c:pt idx="28">
                  <c:v>2354</c:v>
                </c:pt>
                <c:pt idx="29">
                  <c:v>2161</c:v>
                </c:pt>
                <c:pt idx="30">
                  <c:v>2555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Req3!$B$99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Req3!$C$99:$AG$99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</c:v>
                </c:pt>
                <c:pt idx="24">
                  <c:v>24</c:v>
                </c:pt>
                <c:pt idx="25">
                  <c:v>31</c:v>
                </c:pt>
                <c:pt idx="26">
                  <c:v>41</c:v>
                </c:pt>
                <c:pt idx="27">
                  <c:v>72</c:v>
                </c:pt>
                <c:pt idx="28">
                  <c:v>87</c:v>
                </c:pt>
                <c:pt idx="29">
                  <c:v>90</c:v>
                </c:pt>
                <c:pt idx="30">
                  <c:v>119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Req3!$B$100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Req3!$C$100:$AG$100</c:f>
              <c:numCache>
                <c:ptCount val="31"/>
                <c:pt idx="0">
                  <c:v>554</c:v>
                </c:pt>
                <c:pt idx="1">
                  <c:v>548</c:v>
                </c:pt>
                <c:pt idx="2">
                  <c:v>545</c:v>
                </c:pt>
                <c:pt idx="3">
                  <c:v>574</c:v>
                </c:pt>
                <c:pt idx="4">
                  <c:v>602</c:v>
                </c:pt>
                <c:pt idx="5">
                  <c:v>645</c:v>
                </c:pt>
                <c:pt idx="6">
                  <c:v>620</c:v>
                </c:pt>
                <c:pt idx="7">
                  <c:v>566</c:v>
                </c:pt>
                <c:pt idx="8">
                  <c:v>731</c:v>
                </c:pt>
                <c:pt idx="9">
                  <c:v>657</c:v>
                </c:pt>
                <c:pt idx="10">
                  <c:v>691</c:v>
                </c:pt>
                <c:pt idx="11">
                  <c:v>652</c:v>
                </c:pt>
                <c:pt idx="12">
                  <c:v>644</c:v>
                </c:pt>
                <c:pt idx="13">
                  <c:v>660</c:v>
                </c:pt>
                <c:pt idx="14">
                  <c:v>625</c:v>
                </c:pt>
                <c:pt idx="15">
                  <c:v>666</c:v>
                </c:pt>
                <c:pt idx="16">
                  <c:v>690</c:v>
                </c:pt>
                <c:pt idx="17">
                  <c:v>721</c:v>
                </c:pt>
                <c:pt idx="18">
                  <c:v>661</c:v>
                </c:pt>
                <c:pt idx="19">
                  <c:v>699</c:v>
                </c:pt>
                <c:pt idx="20">
                  <c:v>725</c:v>
                </c:pt>
                <c:pt idx="21">
                  <c:v>635</c:v>
                </c:pt>
                <c:pt idx="22">
                  <c:v>717</c:v>
                </c:pt>
                <c:pt idx="23">
                  <c:v>688</c:v>
                </c:pt>
                <c:pt idx="24">
                  <c:v>646</c:v>
                </c:pt>
                <c:pt idx="25">
                  <c:v>687</c:v>
                </c:pt>
                <c:pt idx="26">
                  <c:v>616</c:v>
                </c:pt>
                <c:pt idx="27">
                  <c:v>697</c:v>
                </c:pt>
                <c:pt idx="28">
                  <c:v>627</c:v>
                </c:pt>
                <c:pt idx="29">
                  <c:v>614</c:v>
                </c:pt>
                <c:pt idx="30">
                  <c:v>655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Req3!$B$101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Req3!$C$101:$AG$101</c:f>
              <c:numCache>
                <c:ptCount val="31"/>
                <c:pt idx="0">
                  <c:v>2214</c:v>
                </c:pt>
                <c:pt idx="1">
                  <c:v>2076</c:v>
                </c:pt>
                <c:pt idx="2">
                  <c:v>2189</c:v>
                </c:pt>
                <c:pt idx="3">
                  <c:v>2215</c:v>
                </c:pt>
                <c:pt idx="4">
                  <c:v>2322</c:v>
                </c:pt>
                <c:pt idx="5">
                  <c:v>2415</c:v>
                </c:pt>
                <c:pt idx="6">
                  <c:v>2289</c:v>
                </c:pt>
                <c:pt idx="7">
                  <c:v>2134</c:v>
                </c:pt>
                <c:pt idx="8">
                  <c:v>2792</c:v>
                </c:pt>
                <c:pt idx="9">
                  <c:v>2500</c:v>
                </c:pt>
                <c:pt idx="10">
                  <c:v>2614</c:v>
                </c:pt>
                <c:pt idx="11">
                  <c:v>2445</c:v>
                </c:pt>
                <c:pt idx="12">
                  <c:v>2413</c:v>
                </c:pt>
                <c:pt idx="13">
                  <c:v>2525</c:v>
                </c:pt>
                <c:pt idx="14">
                  <c:v>2485</c:v>
                </c:pt>
                <c:pt idx="15">
                  <c:v>2533</c:v>
                </c:pt>
                <c:pt idx="16">
                  <c:v>2645</c:v>
                </c:pt>
                <c:pt idx="17">
                  <c:v>2710</c:v>
                </c:pt>
                <c:pt idx="18">
                  <c:v>2573</c:v>
                </c:pt>
                <c:pt idx="19">
                  <c:v>2558</c:v>
                </c:pt>
                <c:pt idx="20">
                  <c:v>2788</c:v>
                </c:pt>
                <c:pt idx="21">
                  <c:v>2580</c:v>
                </c:pt>
                <c:pt idx="22">
                  <c:v>2874</c:v>
                </c:pt>
                <c:pt idx="23">
                  <c:v>2816</c:v>
                </c:pt>
                <c:pt idx="24">
                  <c:v>2634</c:v>
                </c:pt>
                <c:pt idx="25">
                  <c:v>2829</c:v>
                </c:pt>
                <c:pt idx="26">
                  <c:v>2601</c:v>
                </c:pt>
                <c:pt idx="27">
                  <c:v>2821</c:v>
                </c:pt>
                <c:pt idx="28">
                  <c:v>2671</c:v>
                </c:pt>
                <c:pt idx="29">
                  <c:v>2566</c:v>
                </c:pt>
                <c:pt idx="30">
                  <c:v>2896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Req3!$B$102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Req3!$C$102:$AG$102</c:f>
              <c:numCache>
                <c:ptCount val="31"/>
                <c:pt idx="0">
                  <c:v>245</c:v>
                </c:pt>
                <c:pt idx="1">
                  <c:v>244</c:v>
                </c:pt>
                <c:pt idx="2">
                  <c:v>242</c:v>
                </c:pt>
                <c:pt idx="3">
                  <c:v>279</c:v>
                </c:pt>
                <c:pt idx="4">
                  <c:v>296</c:v>
                </c:pt>
                <c:pt idx="5">
                  <c:v>315</c:v>
                </c:pt>
                <c:pt idx="6">
                  <c:v>347</c:v>
                </c:pt>
                <c:pt idx="7">
                  <c:v>300</c:v>
                </c:pt>
                <c:pt idx="8">
                  <c:v>434</c:v>
                </c:pt>
                <c:pt idx="9">
                  <c:v>380</c:v>
                </c:pt>
                <c:pt idx="10">
                  <c:v>433</c:v>
                </c:pt>
                <c:pt idx="11">
                  <c:v>409</c:v>
                </c:pt>
                <c:pt idx="12">
                  <c:v>395</c:v>
                </c:pt>
                <c:pt idx="13">
                  <c:v>439</c:v>
                </c:pt>
                <c:pt idx="14">
                  <c:v>426</c:v>
                </c:pt>
                <c:pt idx="15">
                  <c:v>467</c:v>
                </c:pt>
                <c:pt idx="16">
                  <c:v>494</c:v>
                </c:pt>
                <c:pt idx="17">
                  <c:v>502</c:v>
                </c:pt>
                <c:pt idx="18">
                  <c:v>479</c:v>
                </c:pt>
                <c:pt idx="19">
                  <c:v>547</c:v>
                </c:pt>
                <c:pt idx="20">
                  <c:v>693</c:v>
                </c:pt>
                <c:pt idx="21">
                  <c:v>651</c:v>
                </c:pt>
                <c:pt idx="22">
                  <c:v>813</c:v>
                </c:pt>
                <c:pt idx="23">
                  <c:v>891</c:v>
                </c:pt>
                <c:pt idx="24">
                  <c:v>878</c:v>
                </c:pt>
                <c:pt idx="25">
                  <c:v>922</c:v>
                </c:pt>
                <c:pt idx="26">
                  <c:v>973</c:v>
                </c:pt>
                <c:pt idx="27">
                  <c:v>1045</c:v>
                </c:pt>
                <c:pt idx="28">
                  <c:v>1076</c:v>
                </c:pt>
                <c:pt idx="29">
                  <c:v>1018</c:v>
                </c:pt>
                <c:pt idx="30">
                  <c:v>1190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Req3!$B$103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Req3!$C$103:$AG$103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43</c:v>
                </c:pt>
                <c:pt idx="8">
                  <c:v>133</c:v>
                </c:pt>
                <c:pt idx="9">
                  <c:v>172</c:v>
                </c:pt>
                <c:pt idx="10">
                  <c:v>214</c:v>
                </c:pt>
                <c:pt idx="11">
                  <c:v>251</c:v>
                </c:pt>
                <c:pt idx="12">
                  <c:v>301</c:v>
                </c:pt>
                <c:pt idx="13">
                  <c:v>292</c:v>
                </c:pt>
                <c:pt idx="14">
                  <c:v>306</c:v>
                </c:pt>
                <c:pt idx="15">
                  <c:v>307</c:v>
                </c:pt>
                <c:pt idx="16">
                  <c:v>340</c:v>
                </c:pt>
                <c:pt idx="17">
                  <c:v>366</c:v>
                </c:pt>
                <c:pt idx="18">
                  <c:v>371</c:v>
                </c:pt>
                <c:pt idx="19">
                  <c:v>384</c:v>
                </c:pt>
                <c:pt idx="20">
                  <c:v>404</c:v>
                </c:pt>
                <c:pt idx="21">
                  <c:v>387</c:v>
                </c:pt>
                <c:pt idx="22">
                  <c:v>417</c:v>
                </c:pt>
                <c:pt idx="23">
                  <c:v>408</c:v>
                </c:pt>
                <c:pt idx="24">
                  <c:v>400</c:v>
                </c:pt>
                <c:pt idx="25">
                  <c:v>414</c:v>
                </c:pt>
                <c:pt idx="26">
                  <c:v>366</c:v>
                </c:pt>
                <c:pt idx="27">
                  <c:v>434</c:v>
                </c:pt>
                <c:pt idx="28">
                  <c:v>447</c:v>
                </c:pt>
                <c:pt idx="29">
                  <c:v>403</c:v>
                </c:pt>
                <c:pt idx="30">
                  <c:v>461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Req3!$B$104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Req3!$C$104:$AG$104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19</c:v>
                </c:pt>
                <c:pt idx="20">
                  <c:v>40</c:v>
                </c:pt>
                <c:pt idx="21">
                  <c:v>54</c:v>
                </c:pt>
                <c:pt idx="22">
                  <c:v>88</c:v>
                </c:pt>
                <c:pt idx="23">
                  <c:v>97</c:v>
                </c:pt>
                <c:pt idx="24">
                  <c:v>120</c:v>
                </c:pt>
                <c:pt idx="25">
                  <c:v>123</c:v>
                </c:pt>
                <c:pt idx="26">
                  <c:v>135</c:v>
                </c:pt>
                <c:pt idx="27">
                  <c:v>181</c:v>
                </c:pt>
                <c:pt idx="28">
                  <c:v>173</c:v>
                </c:pt>
                <c:pt idx="29">
                  <c:v>177</c:v>
                </c:pt>
                <c:pt idx="30">
                  <c:v>209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Req3!$B$105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Req3!$C$105:$AG$105</c:f>
              <c:numCache>
                <c:ptCount val="31"/>
                <c:pt idx="0">
                  <c:v>21</c:v>
                </c:pt>
                <c:pt idx="1">
                  <c:v>30</c:v>
                </c:pt>
                <c:pt idx="2">
                  <c:v>25</c:v>
                </c:pt>
                <c:pt idx="3">
                  <c:v>18</c:v>
                </c:pt>
                <c:pt idx="4">
                  <c:v>19</c:v>
                </c:pt>
                <c:pt idx="5">
                  <c:v>22</c:v>
                </c:pt>
                <c:pt idx="6">
                  <c:v>15</c:v>
                </c:pt>
                <c:pt idx="7">
                  <c:v>17</c:v>
                </c:pt>
                <c:pt idx="8">
                  <c:v>18</c:v>
                </c:pt>
                <c:pt idx="9">
                  <c:v>16</c:v>
                </c:pt>
                <c:pt idx="10">
                  <c:v>20</c:v>
                </c:pt>
                <c:pt idx="11">
                  <c:v>22</c:v>
                </c:pt>
                <c:pt idx="12">
                  <c:v>23</c:v>
                </c:pt>
                <c:pt idx="13">
                  <c:v>27</c:v>
                </c:pt>
                <c:pt idx="14">
                  <c:v>28</c:v>
                </c:pt>
                <c:pt idx="15">
                  <c:v>24</c:v>
                </c:pt>
                <c:pt idx="16">
                  <c:v>25</c:v>
                </c:pt>
                <c:pt idx="17">
                  <c:v>25</c:v>
                </c:pt>
                <c:pt idx="18">
                  <c:v>18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23</c:v>
                </c:pt>
                <c:pt idx="23">
                  <c:v>20</c:v>
                </c:pt>
                <c:pt idx="24">
                  <c:v>23</c:v>
                </c:pt>
                <c:pt idx="25">
                  <c:v>14</c:v>
                </c:pt>
                <c:pt idx="26">
                  <c:v>13</c:v>
                </c:pt>
                <c:pt idx="27">
                  <c:v>15</c:v>
                </c:pt>
                <c:pt idx="28">
                  <c:v>19</c:v>
                </c:pt>
                <c:pt idx="29">
                  <c:v>12</c:v>
                </c:pt>
                <c:pt idx="30">
                  <c:v>17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Req3!$B$106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Req3!$C$106:$AG$106</c:f>
              <c:numCache>
                <c:ptCount val="31"/>
                <c:pt idx="0">
                  <c:v>1910</c:v>
                </c:pt>
                <c:pt idx="1">
                  <c:v>1742</c:v>
                </c:pt>
                <c:pt idx="2">
                  <c:v>1875</c:v>
                </c:pt>
                <c:pt idx="3">
                  <c:v>1832</c:v>
                </c:pt>
                <c:pt idx="4">
                  <c:v>1974</c:v>
                </c:pt>
                <c:pt idx="5">
                  <c:v>1932</c:v>
                </c:pt>
                <c:pt idx="6">
                  <c:v>1918</c:v>
                </c:pt>
                <c:pt idx="7">
                  <c:v>1701</c:v>
                </c:pt>
                <c:pt idx="8">
                  <c:v>2249</c:v>
                </c:pt>
                <c:pt idx="9">
                  <c:v>1914</c:v>
                </c:pt>
                <c:pt idx="10">
                  <c:v>2036</c:v>
                </c:pt>
                <c:pt idx="11">
                  <c:v>1943</c:v>
                </c:pt>
                <c:pt idx="12">
                  <c:v>1920</c:v>
                </c:pt>
                <c:pt idx="13">
                  <c:v>1931</c:v>
                </c:pt>
                <c:pt idx="14">
                  <c:v>1908</c:v>
                </c:pt>
                <c:pt idx="15">
                  <c:v>1894</c:v>
                </c:pt>
                <c:pt idx="16">
                  <c:v>1957</c:v>
                </c:pt>
                <c:pt idx="17">
                  <c:v>1930</c:v>
                </c:pt>
                <c:pt idx="18">
                  <c:v>1906</c:v>
                </c:pt>
                <c:pt idx="19">
                  <c:v>1780</c:v>
                </c:pt>
                <c:pt idx="20">
                  <c:v>2051</c:v>
                </c:pt>
                <c:pt idx="21">
                  <c:v>1778</c:v>
                </c:pt>
                <c:pt idx="22">
                  <c:v>2030</c:v>
                </c:pt>
                <c:pt idx="23">
                  <c:v>2015</c:v>
                </c:pt>
                <c:pt idx="24">
                  <c:v>1810</c:v>
                </c:pt>
                <c:pt idx="25">
                  <c:v>1893</c:v>
                </c:pt>
                <c:pt idx="26">
                  <c:v>1777</c:v>
                </c:pt>
                <c:pt idx="27">
                  <c:v>1897</c:v>
                </c:pt>
                <c:pt idx="28">
                  <c:v>1827</c:v>
                </c:pt>
                <c:pt idx="29">
                  <c:v>1701</c:v>
                </c:pt>
                <c:pt idx="30">
                  <c:v>1937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Req3!$B$107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Req3!$C$107:$AG$107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Req3!$C$96:$AG$96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Req3!$C$109:$AG$109</c:f>
              <c:numCache>
                <c:ptCount val="31"/>
                <c:pt idx="0">
                  <c:v>4279</c:v>
                </c:pt>
                <c:pt idx="1">
                  <c:v>3911</c:v>
                </c:pt>
                <c:pt idx="2">
                  <c:v>4225</c:v>
                </c:pt>
                <c:pt idx="3">
                  <c:v>4152</c:v>
                </c:pt>
                <c:pt idx="4">
                  <c:v>4341</c:v>
                </c:pt>
                <c:pt idx="5">
                  <c:v>4354</c:v>
                </c:pt>
                <c:pt idx="6">
                  <c:v>4144</c:v>
                </c:pt>
                <c:pt idx="7">
                  <c:v>3684</c:v>
                </c:pt>
                <c:pt idx="8">
                  <c:v>4910</c:v>
                </c:pt>
                <c:pt idx="9">
                  <c:v>4166</c:v>
                </c:pt>
                <c:pt idx="10">
                  <c:v>4465</c:v>
                </c:pt>
                <c:pt idx="11">
                  <c:v>4347</c:v>
                </c:pt>
                <c:pt idx="12">
                  <c:v>4141</c:v>
                </c:pt>
                <c:pt idx="13">
                  <c:v>4289</c:v>
                </c:pt>
                <c:pt idx="14">
                  <c:v>4352</c:v>
                </c:pt>
                <c:pt idx="15">
                  <c:v>4273</c:v>
                </c:pt>
                <c:pt idx="16">
                  <c:v>4337</c:v>
                </c:pt>
                <c:pt idx="17">
                  <c:v>4488</c:v>
                </c:pt>
                <c:pt idx="18">
                  <c:v>4220</c:v>
                </c:pt>
                <c:pt idx="19">
                  <c:v>4033</c:v>
                </c:pt>
                <c:pt idx="20">
                  <c:v>4508</c:v>
                </c:pt>
                <c:pt idx="21">
                  <c:v>3861</c:v>
                </c:pt>
                <c:pt idx="22">
                  <c:v>4356</c:v>
                </c:pt>
                <c:pt idx="23">
                  <c:v>4268</c:v>
                </c:pt>
                <c:pt idx="24">
                  <c:v>3950</c:v>
                </c:pt>
                <c:pt idx="25">
                  <c:v>4158</c:v>
                </c:pt>
                <c:pt idx="26">
                  <c:v>3805</c:v>
                </c:pt>
                <c:pt idx="27">
                  <c:v>4383</c:v>
                </c:pt>
                <c:pt idx="28">
                  <c:v>4189</c:v>
                </c:pt>
                <c:pt idx="29">
                  <c:v>3874</c:v>
                </c:pt>
                <c:pt idx="30">
                  <c:v>4557</c:v>
                </c:pt>
              </c:numCache>
            </c:numRef>
          </c:val>
          <c:smooth val="0"/>
        </c:ser>
        <c:marker val="1"/>
        <c:axId val="5272986"/>
        <c:axId val="47456875"/>
      </c:lineChart>
      <c:dateAx>
        <c:axId val="5272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38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456875"/>
        <c:crosses val="autoZero"/>
        <c:auto val="0"/>
        <c:noMultiLvlLbl val="0"/>
      </c:dateAx>
      <c:valAx>
        <c:axId val="47456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Nbre de boites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729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617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Parts de marché unitaires (%)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Caisse de Montpellier - 162 médecins visités au 16/01/2007</a:t>
            </a:r>
          </a:p>
        </c:rich>
      </c:tx>
      <c:layout>
        <c:manualLayout>
          <c:xMode val="factor"/>
          <c:yMode val="factor"/>
          <c:x val="-0.066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025"/>
          <c:w val="0.767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Req3!$B$133</c:f>
              <c:strCache>
                <c:ptCount val="1"/>
                <c:pt idx="0">
                  <c:v>Simvastatine 10mg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Req3!$C$133:$AG$133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9.30925339787749E-05</c:v>
                </c:pt>
                <c:pt idx="18">
                  <c:v>0.0007817080320500293</c:v>
                </c:pt>
                <c:pt idx="19">
                  <c:v>0.0013949780789159027</c:v>
                </c:pt>
                <c:pt idx="20">
                  <c:v>0.0014252627828255835</c:v>
                </c:pt>
                <c:pt idx="21">
                  <c:v>0.002107587314331594</c:v>
                </c:pt>
                <c:pt idx="22">
                  <c:v>0.0019438063262060435</c:v>
                </c:pt>
                <c:pt idx="23">
                  <c:v>0.0023208069267160584</c:v>
                </c:pt>
                <c:pt idx="24">
                  <c:v>0.002007456266131345</c:v>
                </c:pt>
                <c:pt idx="25">
                  <c:v>0.0024456521739130437</c:v>
                </c:pt>
                <c:pt idx="26">
                  <c:v>0.0034026832587983665</c:v>
                </c:pt>
                <c:pt idx="27">
                  <c:v>0.00400941340538656</c:v>
                </c:pt>
                <c:pt idx="28">
                  <c:v>0.0036268020672771783</c:v>
                </c:pt>
                <c:pt idx="29">
                  <c:v>0.0032802701398938735</c:v>
                </c:pt>
                <c:pt idx="30">
                  <c:v>0.0031865828092243185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Req3!$B$134</c:f>
              <c:strCache>
                <c:ptCount val="1"/>
                <c:pt idx="0">
                  <c:v>Simvastatine 20mg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Req3!$C$134:$AG$134</c:f>
              <c:numCache>
                <c:ptCount val="31"/>
                <c:pt idx="0">
                  <c:v>0.15157757779464381</c:v>
                </c:pt>
                <c:pt idx="1">
                  <c:v>0.15390012863992517</c:v>
                </c:pt>
                <c:pt idx="2">
                  <c:v>0.15009339633007363</c:v>
                </c:pt>
                <c:pt idx="3">
                  <c:v>0.14773980154355015</c:v>
                </c:pt>
                <c:pt idx="4">
                  <c:v>0.14580280510780824</c:v>
                </c:pt>
                <c:pt idx="5">
                  <c:v>0.14509965919653</c:v>
                </c:pt>
                <c:pt idx="6">
                  <c:v>0.14680372630902666</c:v>
                </c:pt>
                <c:pt idx="7">
                  <c:v>0.13949082297217288</c:v>
                </c:pt>
                <c:pt idx="8">
                  <c:v>0.14049880181059732</c:v>
                </c:pt>
                <c:pt idx="9">
                  <c:v>0.13686894441611422</c:v>
                </c:pt>
                <c:pt idx="10">
                  <c:v>0.13826028836054616</c:v>
                </c:pt>
                <c:pt idx="11">
                  <c:v>0.14202006157513158</c:v>
                </c:pt>
                <c:pt idx="12">
                  <c:v>0.13601707837755414</c:v>
                </c:pt>
                <c:pt idx="13">
                  <c:v>0.14257601102036802</c:v>
                </c:pt>
                <c:pt idx="14">
                  <c:v>0.1407699901283317</c:v>
                </c:pt>
                <c:pt idx="15">
                  <c:v>0.13872491145218419</c:v>
                </c:pt>
                <c:pt idx="16">
                  <c:v>0.1427345537757437</c:v>
                </c:pt>
                <c:pt idx="17">
                  <c:v>0.14001117110407746</c:v>
                </c:pt>
                <c:pt idx="18">
                  <c:v>0.1372874731287864</c:v>
                </c:pt>
                <c:pt idx="19">
                  <c:v>0.13531287365484257</c:v>
                </c:pt>
                <c:pt idx="20">
                  <c:v>0.13174772848743987</c:v>
                </c:pt>
                <c:pt idx="21">
                  <c:v>0.12916499397832196</c:v>
                </c:pt>
                <c:pt idx="22">
                  <c:v>0.12617070153737409</c:v>
                </c:pt>
                <c:pt idx="23">
                  <c:v>0.12969740248147818</c:v>
                </c:pt>
                <c:pt idx="24">
                  <c:v>0.12857279418793616</c:v>
                </c:pt>
                <c:pt idx="25">
                  <c:v>0.12309782608695652</c:v>
                </c:pt>
                <c:pt idx="26">
                  <c:v>0.12677425627065914</c:v>
                </c:pt>
                <c:pt idx="27">
                  <c:v>0.1288241959382899</c:v>
                </c:pt>
                <c:pt idx="28">
                  <c:v>0.12875147338833984</c:v>
                </c:pt>
                <c:pt idx="29">
                  <c:v>0.12677279305354558</c:v>
                </c:pt>
                <c:pt idx="30">
                  <c:v>0.12939203354297693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Req3!$B$135</c:f>
              <c:strCache>
                <c:ptCount val="1"/>
                <c:pt idx="0">
                  <c:v>Simvastatine 40mg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Req3!$C$135:$AG$135</c:f>
              <c:numCache>
                <c:ptCount val="31"/>
                <c:pt idx="0">
                  <c:v>0.02602190176732083</c:v>
                </c:pt>
                <c:pt idx="1">
                  <c:v>0.025961875803999532</c:v>
                </c:pt>
                <c:pt idx="2">
                  <c:v>0.02735963080980112</c:v>
                </c:pt>
                <c:pt idx="3">
                  <c:v>0.026460859977949284</c:v>
                </c:pt>
                <c:pt idx="4">
                  <c:v>0.026167050450073268</c:v>
                </c:pt>
                <c:pt idx="5">
                  <c:v>0.02705773004234225</c:v>
                </c:pt>
                <c:pt idx="6">
                  <c:v>0.0273048506264054</c:v>
                </c:pt>
                <c:pt idx="7">
                  <c:v>0.028300769686204853</c:v>
                </c:pt>
                <c:pt idx="8">
                  <c:v>0.02866779089376054</c:v>
                </c:pt>
                <c:pt idx="9">
                  <c:v>0.02784293727689954</c:v>
                </c:pt>
                <c:pt idx="10">
                  <c:v>0.026162513128998376</c:v>
                </c:pt>
                <c:pt idx="11">
                  <c:v>0.027410865031284138</c:v>
                </c:pt>
                <c:pt idx="12">
                  <c:v>0.02775236352546508</c:v>
                </c:pt>
                <c:pt idx="13">
                  <c:v>0.027944504575420644</c:v>
                </c:pt>
                <c:pt idx="14">
                  <c:v>0.026752221125370186</c:v>
                </c:pt>
                <c:pt idx="15">
                  <c:v>0.02784336875245966</c:v>
                </c:pt>
                <c:pt idx="16">
                  <c:v>0.02555301296720061</c:v>
                </c:pt>
                <c:pt idx="17">
                  <c:v>0.02643827964997207</c:v>
                </c:pt>
                <c:pt idx="18">
                  <c:v>0.027359781121751026</c:v>
                </c:pt>
                <c:pt idx="19">
                  <c:v>0.02630530091669988</c:v>
                </c:pt>
                <c:pt idx="20">
                  <c:v>0.028772492428291465</c:v>
                </c:pt>
                <c:pt idx="21">
                  <c:v>0.024989963869931756</c:v>
                </c:pt>
                <c:pt idx="22">
                  <c:v>0.027036578900865877</c:v>
                </c:pt>
                <c:pt idx="23">
                  <c:v>0.02633223243773989</c:v>
                </c:pt>
                <c:pt idx="24">
                  <c:v>0.02647930408182774</c:v>
                </c:pt>
                <c:pt idx="25">
                  <c:v>0.025543478260869567</c:v>
                </c:pt>
                <c:pt idx="26">
                  <c:v>0.025471514680147772</c:v>
                </c:pt>
                <c:pt idx="27">
                  <c:v>0.026496992939945962</c:v>
                </c:pt>
                <c:pt idx="28">
                  <c:v>0.026112974884395686</c:v>
                </c:pt>
                <c:pt idx="29">
                  <c:v>0.02653159671972986</c:v>
                </c:pt>
                <c:pt idx="30">
                  <c:v>0.02532494758909853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Req3!$B$136</c:f>
              <c:strCache>
                <c:ptCount val="1"/>
                <c:pt idx="0">
                  <c:v>Pravastatine 10mg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Req3!$C$136:$AG$136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9.721952167995334E-05</c:v>
                </c:pt>
                <c:pt idx="27">
                  <c:v>0.0005229669659199861</c:v>
                </c:pt>
                <c:pt idx="28">
                  <c:v>0.0008160304651373652</c:v>
                </c:pt>
                <c:pt idx="29">
                  <c:v>0.0012542209358417753</c:v>
                </c:pt>
                <c:pt idx="30">
                  <c:v>0.0018448637316561844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Req3!$B$137</c:f>
              <c:strCache>
                <c:ptCount val="1"/>
                <c:pt idx="0">
                  <c:v>Pravastatine 20mg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Req3!$C$137:$AG$137</c:f>
              <c:numCache>
                <c:ptCount val="31"/>
                <c:pt idx="0">
                  <c:v>0.2104521305432072</c:v>
                </c:pt>
                <c:pt idx="1">
                  <c:v>0.2047713717693837</c:v>
                </c:pt>
                <c:pt idx="2">
                  <c:v>0.21052631578947367</c:v>
                </c:pt>
                <c:pt idx="3">
                  <c:v>0.20672546857772878</c:v>
                </c:pt>
                <c:pt idx="4">
                  <c:v>0.2068243667573791</c:v>
                </c:pt>
                <c:pt idx="5">
                  <c:v>0.2016936899721161</c:v>
                </c:pt>
                <c:pt idx="6">
                  <c:v>0.1978798586572438</c:v>
                </c:pt>
                <c:pt idx="7">
                  <c:v>0.19277679100059206</c:v>
                </c:pt>
                <c:pt idx="8">
                  <c:v>0.1899352090174847</c:v>
                </c:pt>
                <c:pt idx="9">
                  <c:v>0.18755736868944417</c:v>
                </c:pt>
                <c:pt idx="10">
                  <c:v>0.1857156497660651</c:v>
                </c:pt>
                <c:pt idx="11">
                  <c:v>0.18681100407190387</c:v>
                </c:pt>
                <c:pt idx="12">
                  <c:v>0.18623564094744333</c:v>
                </c:pt>
                <c:pt idx="13">
                  <c:v>0.1778018301682574</c:v>
                </c:pt>
                <c:pt idx="14">
                  <c:v>0.18716683119447186</c:v>
                </c:pt>
                <c:pt idx="15">
                  <c:v>0.1806375442739079</c:v>
                </c:pt>
                <c:pt idx="16">
                  <c:v>0.17667810831426392</c:v>
                </c:pt>
                <c:pt idx="17">
                  <c:v>0.17789983243343885</c:v>
                </c:pt>
                <c:pt idx="18">
                  <c:v>0.1750048856752003</c:v>
                </c:pt>
                <c:pt idx="19">
                  <c:v>0.17098445595854922</c:v>
                </c:pt>
                <c:pt idx="20">
                  <c:v>0.16791377160163906</c:v>
                </c:pt>
                <c:pt idx="21">
                  <c:v>0.16358892011240467</c:v>
                </c:pt>
                <c:pt idx="22">
                  <c:v>0.16345644106732637</c:v>
                </c:pt>
                <c:pt idx="23">
                  <c:v>0.15486923145586004</c:v>
                </c:pt>
                <c:pt idx="24">
                  <c:v>0.15371379409234298</c:v>
                </c:pt>
                <c:pt idx="25">
                  <c:v>0.15760869565217392</c:v>
                </c:pt>
                <c:pt idx="26">
                  <c:v>0.14952362434376823</c:v>
                </c:pt>
                <c:pt idx="27">
                  <c:v>0.15514686655626253</c:v>
                </c:pt>
                <c:pt idx="28">
                  <c:v>0.15123764620545835</c:v>
                </c:pt>
                <c:pt idx="29">
                  <c:v>0.14819102749638205</c:v>
                </c:pt>
                <c:pt idx="30">
                  <c:v>0.150188679245283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Req3!$B$138</c:f>
              <c:strCache>
                <c:ptCount val="1"/>
                <c:pt idx="0">
                  <c:v>Pravastatine 40mg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Req3!$C$138:$AG$138</c:f>
              <c:numCache>
                <c:ptCount val="31"/>
                <c:pt idx="0">
                  <c:v>0.07589721348801909</c:v>
                </c:pt>
                <c:pt idx="1">
                  <c:v>0.07274003040580049</c:v>
                </c:pt>
                <c:pt idx="2">
                  <c:v>0.07625535655422482</c:v>
                </c:pt>
                <c:pt idx="3">
                  <c:v>0.07684674751929438</c:v>
                </c:pt>
                <c:pt idx="4">
                  <c:v>0.0755704416998116</c:v>
                </c:pt>
                <c:pt idx="5">
                  <c:v>0.07580295363007332</c:v>
                </c:pt>
                <c:pt idx="6">
                  <c:v>0.07174215654781026</c:v>
                </c:pt>
                <c:pt idx="7">
                  <c:v>0.07566607460035524</c:v>
                </c:pt>
                <c:pt idx="8">
                  <c:v>0.07668412177154522</c:v>
                </c:pt>
                <c:pt idx="9">
                  <c:v>0.07261601223865374</c:v>
                </c:pt>
                <c:pt idx="10">
                  <c:v>0.07619593239759381</c:v>
                </c:pt>
                <c:pt idx="11">
                  <c:v>0.0754791935644056</c:v>
                </c:pt>
                <c:pt idx="12">
                  <c:v>0.07095659245704991</c:v>
                </c:pt>
                <c:pt idx="13">
                  <c:v>0.07369871101052838</c:v>
                </c:pt>
                <c:pt idx="14">
                  <c:v>0.07492596248766041</c:v>
                </c:pt>
                <c:pt idx="15">
                  <c:v>0.07319952774498228</c:v>
                </c:pt>
                <c:pt idx="16">
                  <c:v>0.06855453852021358</c:v>
                </c:pt>
                <c:pt idx="17">
                  <c:v>0.07335691677527462</c:v>
                </c:pt>
                <c:pt idx="18">
                  <c:v>0.0719171389486027</c:v>
                </c:pt>
                <c:pt idx="19">
                  <c:v>0.06785571941012356</c:v>
                </c:pt>
                <c:pt idx="20">
                  <c:v>0.07170853376091217</c:v>
                </c:pt>
                <c:pt idx="21">
                  <c:v>0.06764351665997591</c:v>
                </c:pt>
                <c:pt idx="22">
                  <c:v>0.0662661247570242</c:v>
                </c:pt>
                <c:pt idx="23">
                  <c:v>0.06694635365527091</c:v>
                </c:pt>
                <c:pt idx="24">
                  <c:v>0.06452537998279323</c:v>
                </c:pt>
                <c:pt idx="25">
                  <c:v>0.0651268115942029</c:v>
                </c:pt>
                <c:pt idx="26">
                  <c:v>0.06066498152829088</c:v>
                </c:pt>
                <c:pt idx="27">
                  <c:v>0.06075132920770505</c:v>
                </c:pt>
                <c:pt idx="28">
                  <c:v>0.061383624988666244</c:v>
                </c:pt>
                <c:pt idx="29">
                  <c:v>0.05904486251808973</c:v>
                </c:pt>
                <c:pt idx="30">
                  <c:v>0.06222222222222222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Req3!$B$139</c:f>
              <c:strCache>
                <c:ptCount val="1"/>
                <c:pt idx="0">
                  <c:v>PRAVADUAL 40/81mg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Req3!$C$139:$AG$139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0.000803356243863251</c:v>
                </c:pt>
                <c:pt idx="24">
                  <c:v>0.002294235732721537</c:v>
                </c:pt>
                <c:pt idx="25">
                  <c:v>0.0028079710144927536</c:v>
                </c:pt>
                <c:pt idx="26">
                  <c:v>0.003986000388878087</c:v>
                </c:pt>
                <c:pt idx="27">
                  <c:v>0.006275603591039833</c:v>
                </c:pt>
                <c:pt idx="28">
                  <c:v>0.007888294496327863</c:v>
                </c:pt>
                <c:pt idx="29">
                  <c:v>0.008683068017366137</c:v>
                </c:pt>
                <c:pt idx="30">
                  <c:v>0.009979035639412997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Req3!$B$140</c:f>
              <c:strCache>
                <c:ptCount val="1"/>
                <c:pt idx="0">
                  <c:v>Fluvastatine 20mg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Req3!$C$140:$AG$140</c:f>
              <c:numCache>
                <c:ptCount val="31"/>
                <c:pt idx="0">
                  <c:v>0.011276157432505693</c:v>
                </c:pt>
                <c:pt idx="1">
                  <c:v>0.01075897555841422</c:v>
                </c:pt>
                <c:pt idx="2">
                  <c:v>0.010438413361169102</c:v>
                </c:pt>
                <c:pt idx="3">
                  <c:v>0.011576626240352812</c:v>
                </c:pt>
                <c:pt idx="4">
                  <c:v>0.010048147372828135</c:v>
                </c:pt>
                <c:pt idx="5">
                  <c:v>0.012496127233295466</c:v>
                </c:pt>
                <c:pt idx="6">
                  <c:v>0.011992718706499626</c:v>
                </c:pt>
                <c:pt idx="7">
                  <c:v>0.01290704558910598</c:v>
                </c:pt>
                <c:pt idx="8">
                  <c:v>0.01109434632111476</c:v>
                </c:pt>
                <c:pt idx="9">
                  <c:v>0.009994900560938297</c:v>
                </c:pt>
                <c:pt idx="10">
                  <c:v>0.011458034947006588</c:v>
                </c:pt>
                <c:pt idx="11">
                  <c:v>0.01042804647929288</c:v>
                </c:pt>
                <c:pt idx="12">
                  <c:v>0.011487242045339026</c:v>
                </c:pt>
                <c:pt idx="13">
                  <c:v>0.011709141001672734</c:v>
                </c:pt>
                <c:pt idx="14">
                  <c:v>0.012043435340572556</c:v>
                </c:pt>
                <c:pt idx="15">
                  <c:v>0.012101534828807556</c:v>
                </c:pt>
                <c:pt idx="16">
                  <c:v>0.012109077040427154</c:v>
                </c:pt>
                <c:pt idx="17">
                  <c:v>0.012195121951219513</c:v>
                </c:pt>
                <c:pt idx="18">
                  <c:v>0.012409615008794216</c:v>
                </c:pt>
                <c:pt idx="19">
                  <c:v>0.012953367875647668</c:v>
                </c:pt>
                <c:pt idx="20">
                  <c:v>0.011847496882237662</c:v>
                </c:pt>
                <c:pt idx="21">
                  <c:v>0.012143717382577279</c:v>
                </c:pt>
                <c:pt idx="22">
                  <c:v>0.011839547623254992</c:v>
                </c:pt>
                <c:pt idx="23">
                  <c:v>0.010889940194590735</c:v>
                </c:pt>
                <c:pt idx="24">
                  <c:v>0.011375585508077622</c:v>
                </c:pt>
                <c:pt idx="25">
                  <c:v>0.011503623188405797</c:v>
                </c:pt>
                <c:pt idx="26">
                  <c:v>0.010596927863114914</c:v>
                </c:pt>
                <c:pt idx="27">
                  <c:v>0.010807983962346378</c:v>
                </c:pt>
                <c:pt idx="28">
                  <c:v>0.010427055943421889</c:v>
                </c:pt>
                <c:pt idx="29">
                  <c:v>0.011191509889049687</c:v>
                </c:pt>
                <c:pt idx="30">
                  <c:v>0.010482180293501049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Req3!$B$141</c:f>
              <c:strCache>
                <c:ptCount val="1"/>
                <c:pt idx="0">
                  <c:v>Fluvastatine 40mg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Req3!$C$141:$AG$141</c:f>
              <c:numCache>
                <c:ptCount val="31"/>
                <c:pt idx="0">
                  <c:v>0.02027539846037081</c:v>
                </c:pt>
                <c:pt idx="1">
                  <c:v>0.021401005730323937</c:v>
                </c:pt>
                <c:pt idx="2">
                  <c:v>0.020107680474673113</c:v>
                </c:pt>
                <c:pt idx="3">
                  <c:v>0.020727673649393607</c:v>
                </c:pt>
                <c:pt idx="4">
                  <c:v>0.0211429767636592</c:v>
                </c:pt>
                <c:pt idx="5">
                  <c:v>0.020964577093875864</c:v>
                </c:pt>
                <c:pt idx="6">
                  <c:v>0.020880179890780597</c:v>
                </c:pt>
                <c:pt idx="7">
                  <c:v>0.022143280047365304</c:v>
                </c:pt>
                <c:pt idx="8">
                  <c:v>0.019526049525161977</c:v>
                </c:pt>
                <c:pt idx="9">
                  <c:v>0.022437531871494134</c:v>
                </c:pt>
                <c:pt idx="10">
                  <c:v>0.021006397402845413</c:v>
                </c:pt>
                <c:pt idx="11">
                  <c:v>0.02075677823021154</c:v>
                </c:pt>
                <c:pt idx="12">
                  <c:v>0.02073802988716072</c:v>
                </c:pt>
                <c:pt idx="13">
                  <c:v>0.02145035914592148</c:v>
                </c:pt>
                <c:pt idx="14">
                  <c:v>0.017769002961500493</c:v>
                </c:pt>
                <c:pt idx="15">
                  <c:v>0.020070838252656435</c:v>
                </c:pt>
                <c:pt idx="16">
                  <c:v>0.02011823035850496</c:v>
                </c:pt>
                <c:pt idx="17">
                  <c:v>0.01992180227145783</c:v>
                </c:pt>
                <c:pt idx="18">
                  <c:v>0.019054133281219465</c:v>
                </c:pt>
                <c:pt idx="19">
                  <c:v>0.020625747309685135</c:v>
                </c:pt>
                <c:pt idx="20">
                  <c:v>0.01897381079636558</c:v>
                </c:pt>
                <c:pt idx="21">
                  <c:v>0.018065034122842234</c:v>
                </c:pt>
                <c:pt idx="22">
                  <c:v>0.01811274076691995</c:v>
                </c:pt>
                <c:pt idx="23">
                  <c:v>0.017406051950370437</c:v>
                </c:pt>
                <c:pt idx="24">
                  <c:v>0.018162699550712168</c:v>
                </c:pt>
                <c:pt idx="25">
                  <c:v>0.01847826086956522</c:v>
                </c:pt>
                <c:pt idx="26">
                  <c:v>0.017110635815671786</c:v>
                </c:pt>
                <c:pt idx="27">
                  <c:v>0.01865248845114617</c:v>
                </c:pt>
                <c:pt idx="28">
                  <c:v>0.017499319974612387</c:v>
                </c:pt>
                <c:pt idx="29">
                  <c:v>0.01678726483357453</c:v>
                </c:pt>
                <c:pt idx="30">
                  <c:v>0.016268343815513626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Req3!$B$142</c:f>
              <c:strCache>
                <c:ptCount val="1"/>
                <c:pt idx="0">
                  <c:v>Fluvastatine 80mg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Req3!$C$142:$AG$142</c:f>
              <c:numCache>
                <c:ptCount val="31"/>
                <c:pt idx="0">
                  <c:v>0.028515667353355742</c:v>
                </c:pt>
                <c:pt idx="1">
                  <c:v>0.03192609051572915</c:v>
                </c:pt>
                <c:pt idx="2">
                  <c:v>0.029337435446654212</c:v>
                </c:pt>
                <c:pt idx="3">
                  <c:v>0.030981256890848952</c:v>
                </c:pt>
                <c:pt idx="4">
                  <c:v>0.03181913334728909</c:v>
                </c:pt>
                <c:pt idx="5">
                  <c:v>0.033150882990808636</c:v>
                </c:pt>
                <c:pt idx="6">
                  <c:v>0.0335153656708427</c:v>
                </c:pt>
                <c:pt idx="7">
                  <c:v>0.03197158081705151</c:v>
                </c:pt>
                <c:pt idx="8">
                  <c:v>0.03425934143960238</c:v>
                </c:pt>
                <c:pt idx="9">
                  <c:v>0.03457419683834778</c:v>
                </c:pt>
                <c:pt idx="10">
                  <c:v>0.03351475221999427</c:v>
                </c:pt>
                <c:pt idx="11">
                  <c:v>0.03356837819048565</c:v>
                </c:pt>
                <c:pt idx="12">
                  <c:v>0.03324184202500762</c:v>
                </c:pt>
                <c:pt idx="13">
                  <c:v>0.03178195414739742</c:v>
                </c:pt>
                <c:pt idx="14">
                  <c:v>0.03188548864758144</c:v>
                </c:pt>
                <c:pt idx="15">
                  <c:v>0.0333530106257379</c:v>
                </c:pt>
                <c:pt idx="16">
                  <c:v>0.033562166285278416</c:v>
                </c:pt>
                <c:pt idx="17">
                  <c:v>0.035002792776019365</c:v>
                </c:pt>
                <c:pt idx="18">
                  <c:v>0.03312487785811999</c:v>
                </c:pt>
                <c:pt idx="19">
                  <c:v>0.0360701474691112</c:v>
                </c:pt>
                <c:pt idx="20">
                  <c:v>0.03376091216818101</c:v>
                </c:pt>
                <c:pt idx="21">
                  <c:v>0.033520674427940586</c:v>
                </c:pt>
                <c:pt idx="22">
                  <c:v>0.0333981268775402</c:v>
                </c:pt>
                <c:pt idx="23">
                  <c:v>0.03311612960814068</c:v>
                </c:pt>
                <c:pt idx="24">
                  <c:v>0.03221489341363158</c:v>
                </c:pt>
                <c:pt idx="25">
                  <c:v>0.0322463768115942</c:v>
                </c:pt>
                <c:pt idx="26">
                  <c:v>0.03217966167606456</c:v>
                </c:pt>
                <c:pt idx="27">
                  <c:v>0.0312908567942125</c:v>
                </c:pt>
                <c:pt idx="28">
                  <c:v>0.028923746486535496</c:v>
                </c:pt>
                <c:pt idx="29">
                  <c:v>0.03125904486251809</c:v>
                </c:pt>
                <c:pt idx="30">
                  <c:v>0.028176100628930816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Req3!$B$143</c:f>
              <c:strCache>
                <c:ptCount val="1"/>
                <c:pt idx="0">
                  <c:v>TAHOR 10mg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Req3!$C$143:$AG$143</c:f>
              <c:numCache>
                <c:ptCount val="31"/>
                <c:pt idx="0">
                  <c:v>0.1451805269435108</c:v>
                </c:pt>
                <c:pt idx="1">
                  <c:v>0.1472342416091685</c:v>
                </c:pt>
                <c:pt idx="2">
                  <c:v>0.14075376332271178</c:v>
                </c:pt>
                <c:pt idx="3">
                  <c:v>0.14288864388092612</c:v>
                </c:pt>
                <c:pt idx="4">
                  <c:v>0.14423278208080384</c:v>
                </c:pt>
                <c:pt idx="5">
                  <c:v>0.14871424145409481</c:v>
                </c:pt>
                <c:pt idx="6">
                  <c:v>0.14337723525002677</c:v>
                </c:pt>
                <c:pt idx="7">
                  <c:v>0.15038484310242747</c:v>
                </c:pt>
                <c:pt idx="8">
                  <c:v>0.14706665483269726</c:v>
                </c:pt>
                <c:pt idx="9">
                  <c:v>0.1541050484446711</c:v>
                </c:pt>
                <c:pt idx="10">
                  <c:v>0.1501957414303447</c:v>
                </c:pt>
                <c:pt idx="11">
                  <c:v>0.14400635614261595</c:v>
                </c:pt>
                <c:pt idx="12">
                  <c:v>0.14689437836738845</c:v>
                </c:pt>
                <c:pt idx="13">
                  <c:v>0.14867657187838237</c:v>
                </c:pt>
                <c:pt idx="14">
                  <c:v>0.14461994076999013</c:v>
                </c:pt>
                <c:pt idx="15">
                  <c:v>0.1483667847304211</c:v>
                </c:pt>
                <c:pt idx="16">
                  <c:v>0.15293668954996187</c:v>
                </c:pt>
                <c:pt idx="17">
                  <c:v>0.14997207223980638</c:v>
                </c:pt>
                <c:pt idx="18">
                  <c:v>0.15067422317764315</c:v>
                </c:pt>
                <c:pt idx="19">
                  <c:v>0.15464328417696294</c:v>
                </c:pt>
                <c:pt idx="20">
                  <c:v>0.14840548726171388</c:v>
                </c:pt>
                <c:pt idx="21">
                  <c:v>0.15576073865917303</c:v>
                </c:pt>
                <c:pt idx="22">
                  <c:v>0.15258879660717442</c:v>
                </c:pt>
                <c:pt idx="23">
                  <c:v>0.15013835579755422</c:v>
                </c:pt>
                <c:pt idx="24">
                  <c:v>0.1502724404932607</c:v>
                </c:pt>
                <c:pt idx="25">
                  <c:v>0.15353260869565216</c:v>
                </c:pt>
                <c:pt idx="26">
                  <c:v>0.1514680147773673</c:v>
                </c:pt>
                <c:pt idx="27">
                  <c:v>0.14773816787239605</c:v>
                </c:pt>
                <c:pt idx="28">
                  <c:v>0.14661347356967994</c:v>
                </c:pt>
                <c:pt idx="29">
                  <c:v>0.1486734201640135</c:v>
                </c:pt>
                <c:pt idx="30">
                  <c:v>0.1460796645702306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Req3!$B$144</c:f>
              <c:strCache>
                <c:ptCount val="1"/>
                <c:pt idx="0">
                  <c:v>TAHOR 20mg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Req3!$C$144:$AG$144</c:f>
              <c:numCache>
                <c:ptCount val="31"/>
                <c:pt idx="0">
                  <c:v>0.050200585492789766</c:v>
                </c:pt>
                <c:pt idx="1">
                  <c:v>0.04935095310490001</c:v>
                </c:pt>
                <c:pt idx="2">
                  <c:v>0.051313042522799696</c:v>
                </c:pt>
                <c:pt idx="3">
                  <c:v>0.0557883131201764</c:v>
                </c:pt>
                <c:pt idx="4">
                  <c:v>0.05390412392715093</c:v>
                </c:pt>
                <c:pt idx="5">
                  <c:v>0.054425281421047196</c:v>
                </c:pt>
                <c:pt idx="6">
                  <c:v>0.05514509048077953</c:v>
                </c:pt>
                <c:pt idx="7">
                  <c:v>0.057904085257548844</c:v>
                </c:pt>
                <c:pt idx="8">
                  <c:v>0.05520546729386704</c:v>
                </c:pt>
                <c:pt idx="9">
                  <c:v>0.05527791942886282</c:v>
                </c:pt>
                <c:pt idx="10">
                  <c:v>0.05480760049651485</c:v>
                </c:pt>
                <c:pt idx="11">
                  <c:v>0.05402721223557454</c:v>
                </c:pt>
                <c:pt idx="12">
                  <c:v>0.052861644810409676</c:v>
                </c:pt>
                <c:pt idx="13">
                  <c:v>0.05136278657876611</c:v>
                </c:pt>
                <c:pt idx="14">
                  <c:v>0.05478775913129319</c:v>
                </c:pt>
                <c:pt idx="15">
                  <c:v>0.05371900826446281</c:v>
                </c:pt>
                <c:pt idx="16">
                  <c:v>0.052917620137299774</c:v>
                </c:pt>
                <c:pt idx="17">
                  <c:v>0.05501768758145597</c:v>
                </c:pt>
                <c:pt idx="18">
                  <c:v>0.05413328121946453</c:v>
                </c:pt>
                <c:pt idx="19">
                  <c:v>0.05300916699880431</c:v>
                </c:pt>
                <c:pt idx="20">
                  <c:v>0.05522893283449136</c:v>
                </c:pt>
                <c:pt idx="21">
                  <c:v>0.057306302689682856</c:v>
                </c:pt>
                <c:pt idx="22">
                  <c:v>0.055045060964834774</c:v>
                </c:pt>
                <c:pt idx="23">
                  <c:v>0.05453896277782737</c:v>
                </c:pt>
                <c:pt idx="24">
                  <c:v>0.05525284389637702</c:v>
                </c:pt>
                <c:pt idx="25">
                  <c:v>0.05579710144927536</c:v>
                </c:pt>
                <c:pt idx="26">
                  <c:v>0.05658176161773284</c:v>
                </c:pt>
                <c:pt idx="27">
                  <c:v>0.054737209099625206</c:v>
                </c:pt>
                <c:pt idx="28">
                  <c:v>0.05286064013056487</c:v>
                </c:pt>
                <c:pt idx="29">
                  <c:v>0.05470332850940666</c:v>
                </c:pt>
                <c:pt idx="30">
                  <c:v>0.051236897274633125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Req3!$B$145</c:f>
              <c:strCache>
                <c:ptCount val="1"/>
                <c:pt idx="0">
                  <c:v>TAHOR 40mg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Req3!$C$145:$AG$145</c:f>
              <c:numCache>
                <c:ptCount val="31"/>
                <c:pt idx="0">
                  <c:v>0.04239401496259352</c:v>
                </c:pt>
                <c:pt idx="1">
                  <c:v>0.04408841071219741</c:v>
                </c:pt>
                <c:pt idx="2">
                  <c:v>0.045819140753763324</c:v>
                </c:pt>
                <c:pt idx="3">
                  <c:v>0.04288864388092613</c:v>
                </c:pt>
                <c:pt idx="4">
                  <c:v>0.04259995813271928</c:v>
                </c:pt>
                <c:pt idx="5">
                  <c:v>0.042961891975627386</c:v>
                </c:pt>
                <c:pt idx="6">
                  <c:v>0.043366527465467396</c:v>
                </c:pt>
                <c:pt idx="7">
                  <c:v>0.04168146832445234</c:v>
                </c:pt>
                <c:pt idx="8">
                  <c:v>0.04260228987308068</c:v>
                </c:pt>
                <c:pt idx="9">
                  <c:v>0.04232534421213666</c:v>
                </c:pt>
                <c:pt idx="10">
                  <c:v>0.041344409433782106</c:v>
                </c:pt>
                <c:pt idx="11">
                  <c:v>0.040818353361803554</c:v>
                </c:pt>
                <c:pt idx="12">
                  <c:v>0.041272745755819865</c:v>
                </c:pt>
                <c:pt idx="13">
                  <c:v>0.04427826429203975</c:v>
                </c:pt>
                <c:pt idx="14">
                  <c:v>0.041559723593287266</c:v>
                </c:pt>
                <c:pt idx="15">
                  <c:v>0.04329004329004329</c:v>
                </c:pt>
                <c:pt idx="16">
                  <c:v>0.041571319603356215</c:v>
                </c:pt>
                <c:pt idx="17">
                  <c:v>0.042077825358406255</c:v>
                </c:pt>
                <c:pt idx="18">
                  <c:v>0.04201680672268908</c:v>
                </c:pt>
                <c:pt idx="19">
                  <c:v>0.04204862495017935</c:v>
                </c:pt>
                <c:pt idx="20">
                  <c:v>0.038214858364510954</c:v>
                </c:pt>
                <c:pt idx="21">
                  <c:v>0.04034524287434765</c:v>
                </c:pt>
                <c:pt idx="22">
                  <c:v>0.03993638452023326</c:v>
                </c:pt>
                <c:pt idx="23">
                  <c:v>0.04052485941265732</c:v>
                </c:pt>
                <c:pt idx="24">
                  <c:v>0.038715227989675936</c:v>
                </c:pt>
                <c:pt idx="25">
                  <c:v>0.03958333333333333</c:v>
                </c:pt>
                <c:pt idx="26">
                  <c:v>0.0379156134551818</c:v>
                </c:pt>
                <c:pt idx="27">
                  <c:v>0.0361718818094657</c:v>
                </c:pt>
                <c:pt idx="28">
                  <c:v>0.035996010517725996</c:v>
                </c:pt>
                <c:pt idx="29">
                  <c:v>0.03859141341051616</c:v>
                </c:pt>
                <c:pt idx="30">
                  <c:v>0.039161425576519915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Req3!$B$146</c:f>
              <c:strCache>
                <c:ptCount val="1"/>
                <c:pt idx="0">
                  <c:v>TAHOR 80mg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Req3!$C$146:$AG$146</c:f>
              <c:numCache>
                <c:ptCount val="31"/>
                <c:pt idx="0">
                  <c:v>0.0022769164046405723</c:v>
                </c:pt>
                <c:pt idx="1">
                  <c:v>0.0021050169570810432</c:v>
                </c:pt>
                <c:pt idx="2">
                  <c:v>0.0026370728491374573</c:v>
                </c:pt>
                <c:pt idx="3">
                  <c:v>0.002646085997794928</c:v>
                </c:pt>
                <c:pt idx="4">
                  <c:v>0.0023027004396064476</c:v>
                </c:pt>
                <c:pt idx="5">
                  <c:v>0.0033047609212021067</c:v>
                </c:pt>
                <c:pt idx="6">
                  <c:v>0.0032123353678123997</c:v>
                </c:pt>
                <c:pt idx="7">
                  <c:v>0.0027235050325636473</c:v>
                </c:pt>
                <c:pt idx="8">
                  <c:v>0.0029289074287742966</c:v>
                </c:pt>
                <c:pt idx="9">
                  <c:v>0.003263640999490056</c:v>
                </c:pt>
                <c:pt idx="10">
                  <c:v>0.0032464432349852</c:v>
                </c:pt>
                <c:pt idx="11">
                  <c:v>0.003972589134968716</c:v>
                </c:pt>
                <c:pt idx="12">
                  <c:v>0.004269594388533089</c:v>
                </c:pt>
                <c:pt idx="13">
                  <c:v>0.004132638000590377</c:v>
                </c:pt>
                <c:pt idx="14">
                  <c:v>0.004343534057255676</c:v>
                </c:pt>
                <c:pt idx="15">
                  <c:v>0.0038370720188902006</c:v>
                </c:pt>
                <c:pt idx="16">
                  <c:v>0.004767353165522502</c:v>
                </c:pt>
                <c:pt idx="17">
                  <c:v>0.005213181902811394</c:v>
                </c:pt>
                <c:pt idx="18">
                  <c:v>0.004592534688293922</c:v>
                </c:pt>
                <c:pt idx="19">
                  <c:v>0.0051813471502590676</c:v>
                </c:pt>
                <c:pt idx="20">
                  <c:v>0.006502761446641725</c:v>
                </c:pt>
                <c:pt idx="21">
                  <c:v>0.005519871537535127</c:v>
                </c:pt>
                <c:pt idx="22">
                  <c:v>0.006361547976674324</c:v>
                </c:pt>
                <c:pt idx="23">
                  <c:v>0.006159064536284923</c:v>
                </c:pt>
                <c:pt idx="24">
                  <c:v>0.0075518592868750595</c:v>
                </c:pt>
                <c:pt idx="25">
                  <c:v>0.007336956521739131</c:v>
                </c:pt>
                <c:pt idx="26">
                  <c:v>0.0069025860392766866</c:v>
                </c:pt>
                <c:pt idx="27">
                  <c:v>0.00723437636189314</c:v>
                </c:pt>
                <c:pt idx="28">
                  <c:v>0.00670958382446278</c:v>
                </c:pt>
                <c:pt idx="29">
                  <c:v>0.005595754944524843</c:v>
                </c:pt>
                <c:pt idx="30">
                  <c:v>0.006373165618448637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Req3!$B$147</c:f>
              <c:strCache>
                <c:ptCount val="1"/>
                <c:pt idx="0">
                  <c:v>CRESTOR 5mg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Req3!$C$147:$AG$147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0.00438421681944998</c:v>
                </c:pt>
                <c:pt idx="20">
                  <c:v>0.010956707642971674</c:v>
                </c:pt>
                <c:pt idx="21">
                  <c:v>0.01495383380168607</c:v>
                </c:pt>
                <c:pt idx="22">
                  <c:v>0.020409966425163458</c:v>
                </c:pt>
                <c:pt idx="23">
                  <c:v>0.0278496831205927</c:v>
                </c:pt>
                <c:pt idx="24">
                  <c:v>0.03068540292515056</c:v>
                </c:pt>
                <c:pt idx="25">
                  <c:v>0.03179347826086956</c:v>
                </c:pt>
                <c:pt idx="26">
                  <c:v>0.0408321991055804</c:v>
                </c:pt>
                <c:pt idx="27">
                  <c:v>0.041314390307678896</c:v>
                </c:pt>
                <c:pt idx="28">
                  <c:v>0.045607035996010514</c:v>
                </c:pt>
                <c:pt idx="29">
                  <c:v>0.04737095996140859</c:v>
                </c:pt>
                <c:pt idx="30">
                  <c:v>0.04905660377358491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Req3!$B$148</c:f>
              <c:strCache>
                <c:ptCount val="1"/>
                <c:pt idx="0">
                  <c:v>CRESTOR 10mg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Req3!$C$148:$AG$148</c:f>
              <c:numCache>
                <c:ptCount val="31"/>
                <c:pt idx="0">
                  <c:v>0.024395532906863276</c:v>
                </c:pt>
                <c:pt idx="1">
                  <c:v>0.025961875803999532</c:v>
                </c:pt>
                <c:pt idx="2">
                  <c:v>0.024722557960663662</c:v>
                </c:pt>
                <c:pt idx="3">
                  <c:v>0.027122381477398014</c:v>
                </c:pt>
                <c:pt idx="4">
                  <c:v>0.02763240527527737</c:v>
                </c:pt>
                <c:pt idx="5">
                  <c:v>0.028916658060518435</c:v>
                </c:pt>
                <c:pt idx="6">
                  <c:v>0.03255166506049898</c:v>
                </c:pt>
                <c:pt idx="7">
                  <c:v>0.03197158081705151</c:v>
                </c:pt>
                <c:pt idx="8">
                  <c:v>0.03479187006301589</c:v>
                </c:pt>
                <c:pt idx="9">
                  <c:v>0.035594084650688425</c:v>
                </c:pt>
                <c:pt idx="10">
                  <c:v>0.03762054807600496</c:v>
                </c:pt>
                <c:pt idx="11">
                  <c:v>0.03724302314033171</c:v>
                </c:pt>
                <c:pt idx="12">
                  <c:v>0.03618989529328047</c:v>
                </c:pt>
                <c:pt idx="13">
                  <c:v>0.03798091114828299</c:v>
                </c:pt>
                <c:pt idx="14">
                  <c:v>0.03731490621915104</c:v>
                </c:pt>
                <c:pt idx="15">
                  <c:v>0.04083038173947265</c:v>
                </c:pt>
                <c:pt idx="16">
                  <c:v>0.041952707856598014</c:v>
                </c:pt>
                <c:pt idx="17">
                  <c:v>0.04198473282442748</c:v>
                </c:pt>
                <c:pt idx="18">
                  <c:v>0.040941958178620286</c:v>
                </c:pt>
                <c:pt idx="19">
                  <c:v>0.045635711438820246</c:v>
                </c:pt>
                <c:pt idx="20">
                  <c:v>0.04471761981115268</c:v>
                </c:pt>
                <c:pt idx="21">
                  <c:v>0.044761140104375756</c:v>
                </c:pt>
                <c:pt idx="22">
                  <c:v>0.045414384166813926</c:v>
                </c:pt>
                <c:pt idx="23">
                  <c:v>0.046059091314826384</c:v>
                </c:pt>
                <c:pt idx="24">
                  <c:v>0.04770098460950196</c:v>
                </c:pt>
                <c:pt idx="25">
                  <c:v>0.0463768115942029</c:v>
                </c:pt>
                <c:pt idx="26">
                  <c:v>0.04734590705813727</c:v>
                </c:pt>
                <c:pt idx="27">
                  <c:v>0.04392922513727883</c:v>
                </c:pt>
                <c:pt idx="28">
                  <c:v>0.04542569589264666</c:v>
                </c:pt>
                <c:pt idx="29">
                  <c:v>0.04486251808972504</c:v>
                </c:pt>
                <c:pt idx="30">
                  <c:v>0.04377358490566038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Req3!$B$149</c:f>
              <c:strCache>
                <c:ptCount val="1"/>
                <c:pt idx="0">
                  <c:v>CRESTOR 20mg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Req3!$C$149:$AG$149</c:f>
              <c:numCache>
                <c:ptCount val="31"/>
                <c:pt idx="0">
                  <c:v>0.0021684918139434025</c:v>
                </c:pt>
                <c:pt idx="1">
                  <c:v>0.0025727985030990527</c:v>
                </c:pt>
                <c:pt idx="2">
                  <c:v>0.0018679266014723656</c:v>
                </c:pt>
                <c:pt idx="3">
                  <c:v>0.0036383682469680267</c:v>
                </c:pt>
                <c:pt idx="4">
                  <c:v>0.0033493824576093785</c:v>
                </c:pt>
                <c:pt idx="5">
                  <c:v>0.0036145822575648044</c:v>
                </c:pt>
                <c:pt idx="6">
                  <c:v>0.004604347360531106</c:v>
                </c:pt>
                <c:pt idx="7">
                  <c:v>0.003552397868561279</c:v>
                </c:pt>
                <c:pt idx="8">
                  <c:v>0.0037277003638945595</c:v>
                </c:pt>
                <c:pt idx="9">
                  <c:v>0.003161652218255992</c:v>
                </c:pt>
                <c:pt idx="10">
                  <c:v>0.0037238613577771414</c:v>
                </c:pt>
                <c:pt idx="11">
                  <c:v>0.0033767007647234086</c:v>
                </c:pt>
                <c:pt idx="12">
                  <c:v>0.003964623360780726</c:v>
                </c:pt>
                <c:pt idx="13">
                  <c:v>0.005214995572173571</c:v>
                </c:pt>
                <c:pt idx="14">
                  <c:v>0.004738400789733465</c:v>
                </c:pt>
                <c:pt idx="15">
                  <c:v>0.005116096025186935</c:v>
                </c:pt>
                <c:pt idx="16">
                  <c:v>0.005148741418764302</c:v>
                </c:pt>
                <c:pt idx="17">
                  <c:v>0.00474771923291752</c:v>
                </c:pt>
                <c:pt idx="18">
                  <c:v>0.00586281024037522</c:v>
                </c:pt>
                <c:pt idx="19">
                  <c:v>0.004483858110801116</c:v>
                </c:pt>
                <c:pt idx="20">
                  <c:v>0.0060573668270087295</c:v>
                </c:pt>
                <c:pt idx="21">
                  <c:v>0.005620232838217583</c:v>
                </c:pt>
                <c:pt idx="22">
                  <c:v>0.006008128644636862</c:v>
                </c:pt>
                <c:pt idx="23">
                  <c:v>0.005623493707042756</c:v>
                </c:pt>
                <c:pt idx="24">
                  <c:v>0.005544403020743715</c:v>
                </c:pt>
                <c:pt idx="25">
                  <c:v>0.005344202898550724</c:v>
                </c:pt>
                <c:pt idx="26">
                  <c:v>0.00641648843087692</c:v>
                </c:pt>
                <c:pt idx="27">
                  <c:v>0.005839797786106511</c:v>
                </c:pt>
                <c:pt idx="28">
                  <c:v>0.0065282437210989214</c:v>
                </c:pt>
                <c:pt idx="29">
                  <c:v>0.005981669078630005</c:v>
                </c:pt>
                <c:pt idx="30">
                  <c:v>0.006960167714884696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Req3!$B$150</c:f>
              <c:strCache>
                <c:ptCount val="1"/>
                <c:pt idx="0">
                  <c:v>EZETROL 10mg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Req3!$C$150:$AG$150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0.00064246707356248</c:v>
                </c:pt>
                <c:pt idx="7">
                  <c:v>0.005091770278271166</c:v>
                </c:pt>
                <c:pt idx="8">
                  <c:v>0.011804384485666104</c:v>
                </c:pt>
                <c:pt idx="9">
                  <c:v>0.01754207037225905</c:v>
                </c:pt>
                <c:pt idx="10">
                  <c:v>0.02043349565549508</c:v>
                </c:pt>
                <c:pt idx="11">
                  <c:v>0.024927996821928693</c:v>
                </c:pt>
                <c:pt idx="12">
                  <c:v>0.03059875978448714</c:v>
                </c:pt>
                <c:pt idx="13">
                  <c:v>0.02873167371839024</c:v>
                </c:pt>
                <c:pt idx="14">
                  <c:v>0.030207305034550838</c:v>
                </c:pt>
                <c:pt idx="15">
                  <c:v>0.03020464384100748</c:v>
                </c:pt>
                <c:pt idx="16">
                  <c:v>0.03241800152555301</c:v>
                </c:pt>
                <c:pt idx="17">
                  <c:v>0.03407186743623161</c:v>
                </c:pt>
                <c:pt idx="18">
                  <c:v>0.03625170998632011</c:v>
                </c:pt>
                <c:pt idx="19">
                  <c:v>0.038262255878836186</c:v>
                </c:pt>
                <c:pt idx="20">
                  <c:v>0.035987885266345984</c:v>
                </c:pt>
                <c:pt idx="21">
                  <c:v>0.0388398233641108</c:v>
                </c:pt>
                <c:pt idx="22">
                  <c:v>0.03684396536490546</c:v>
                </c:pt>
                <c:pt idx="23">
                  <c:v>0.036418816388467376</c:v>
                </c:pt>
                <c:pt idx="24">
                  <c:v>0.03823726221202562</c:v>
                </c:pt>
                <c:pt idx="25">
                  <c:v>0.0375</c:v>
                </c:pt>
                <c:pt idx="26">
                  <c:v>0.03558234493486292</c:v>
                </c:pt>
                <c:pt idx="27">
                  <c:v>0.037827943868212324</c:v>
                </c:pt>
                <c:pt idx="28">
                  <c:v>0.04052951310182247</c:v>
                </c:pt>
                <c:pt idx="29">
                  <c:v>0.03888084901109503</c:v>
                </c:pt>
                <c:pt idx="30">
                  <c:v>0.03865828092243186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Req3!$B$151</c:f>
              <c:strCache>
                <c:ptCount val="1"/>
                <c:pt idx="0">
                  <c:v>INEGY 10/20mg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Req3!$C$151:$AG$151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0.00039085401602501464</c:v>
                </c:pt>
                <c:pt idx="19">
                  <c:v>0.001096054204862495</c:v>
                </c:pt>
                <c:pt idx="20">
                  <c:v>0.002137894174238375</c:v>
                </c:pt>
                <c:pt idx="21">
                  <c:v>0.0034122842232035327</c:v>
                </c:pt>
                <c:pt idx="22">
                  <c:v>0.004594451316487012</c:v>
                </c:pt>
                <c:pt idx="23">
                  <c:v>0.004998661072926894</c:v>
                </c:pt>
                <c:pt idx="24">
                  <c:v>0.006978300353694676</c:v>
                </c:pt>
                <c:pt idx="25">
                  <c:v>0.005978260869565218</c:v>
                </c:pt>
                <c:pt idx="26">
                  <c:v>0.00816643982111608</c:v>
                </c:pt>
                <c:pt idx="27">
                  <c:v>0.009064760742613092</c:v>
                </c:pt>
                <c:pt idx="28">
                  <c:v>0.009611025478284522</c:v>
                </c:pt>
                <c:pt idx="29">
                  <c:v>0.011191509889049687</c:v>
                </c:pt>
                <c:pt idx="30">
                  <c:v>0.011153039832285116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Req3!$B$152</c:f>
              <c:strCache>
                <c:ptCount val="1"/>
                <c:pt idx="0">
                  <c:v>INEGY 10/40mg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Req3!$C$152:$AG$152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0.00019542700801250732</c:v>
                </c:pt>
                <c:pt idx="19">
                  <c:v>0.0007971303308090873</c:v>
                </c:pt>
                <c:pt idx="20">
                  <c:v>0.0014252627828255835</c:v>
                </c:pt>
                <c:pt idx="21">
                  <c:v>0.002007226013649137</c:v>
                </c:pt>
                <c:pt idx="22">
                  <c:v>0.003180773988337162</c:v>
                </c:pt>
                <c:pt idx="23">
                  <c:v>0.0036597339998214766</c:v>
                </c:pt>
                <c:pt idx="24">
                  <c:v>0.00449287830991301</c:v>
                </c:pt>
                <c:pt idx="25">
                  <c:v>0.005163043478260869</c:v>
                </c:pt>
                <c:pt idx="26">
                  <c:v>0.00495819560567762</c:v>
                </c:pt>
                <c:pt idx="27">
                  <c:v>0.006711409395973154</c:v>
                </c:pt>
                <c:pt idx="28">
                  <c:v>0.006074893462689274</c:v>
                </c:pt>
                <c:pt idx="29">
                  <c:v>0.005885190545103714</c:v>
                </c:pt>
                <c:pt idx="30">
                  <c:v>0.006373165618448637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Req3!$B$153</c:f>
              <c:strCache>
                <c:ptCount val="1"/>
                <c:pt idx="0">
                  <c:v>LIPUR 450mg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Req3!$C$153:$AG$153</c:f>
              <c:numCache>
                <c:ptCount val="31"/>
                <c:pt idx="0">
                  <c:v>0.0022769164046405723</c:v>
                </c:pt>
                <c:pt idx="1">
                  <c:v>0.003508361595135072</c:v>
                </c:pt>
                <c:pt idx="2">
                  <c:v>0.002746950884518185</c:v>
                </c:pt>
                <c:pt idx="3">
                  <c:v>0.001984564498346196</c:v>
                </c:pt>
                <c:pt idx="4">
                  <c:v>0.0019886958342055683</c:v>
                </c:pt>
                <c:pt idx="5">
                  <c:v>0.0022720231333264486</c:v>
                </c:pt>
                <c:pt idx="6">
                  <c:v>0.0016061676839061998</c:v>
                </c:pt>
                <c:pt idx="7">
                  <c:v>0.0020130254588513912</c:v>
                </c:pt>
                <c:pt idx="8">
                  <c:v>0.0015975858702405254</c:v>
                </c:pt>
                <c:pt idx="9">
                  <c:v>0.001631820499745028</c:v>
                </c:pt>
                <c:pt idx="10">
                  <c:v>0.0019096724911677647</c:v>
                </c:pt>
                <c:pt idx="11">
                  <c:v>0.0021849240242327937</c:v>
                </c:pt>
                <c:pt idx="12">
                  <c:v>0.0023381112127681203</c:v>
                </c:pt>
                <c:pt idx="13">
                  <c:v>0.0026566958575223853</c:v>
                </c:pt>
                <c:pt idx="14">
                  <c:v>0.002764067127344521</c:v>
                </c:pt>
                <c:pt idx="15">
                  <c:v>0.0023612750885478157</c:v>
                </c:pt>
                <c:pt idx="16">
                  <c:v>0.002383676582761251</c:v>
                </c:pt>
                <c:pt idx="17">
                  <c:v>0.0023273133494693724</c:v>
                </c:pt>
                <c:pt idx="18">
                  <c:v>0.0017588430721125659</c:v>
                </c:pt>
                <c:pt idx="19">
                  <c:v>0.0015942606616181746</c:v>
                </c:pt>
                <c:pt idx="20">
                  <c:v>0.0015143417067521824</c:v>
                </c:pt>
                <c:pt idx="21">
                  <c:v>0.0018065034122842231</c:v>
                </c:pt>
                <c:pt idx="22">
                  <c:v>0.0020321611592154093</c:v>
                </c:pt>
                <c:pt idx="23">
                  <c:v>0.0017852360974738909</c:v>
                </c:pt>
                <c:pt idx="24">
                  <c:v>0.0021986425771914732</c:v>
                </c:pt>
                <c:pt idx="25">
                  <c:v>0.0012681159420289854</c:v>
                </c:pt>
                <c:pt idx="26">
                  <c:v>0.0012638537818393933</c:v>
                </c:pt>
                <c:pt idx="27">
                  <c:v>0.0013074174147999652</c:v>
                </c:pt>
                <c:pt idx="28">
                  <c:v>0.0017227309819566597</c:v>
                </c:pt>
                <c:pt idx="29">
                  <c:v>0.0011577424023154848</c:v>
                </c:pt>
                <c:pt idx="30">
                  <c:v>0.0014255765199161425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Req3!$B$154</c:f>
              <c:strCache>
                <c:ptCount val="1"/>
                <c:pt idx="0">
                  <c:v>Fénofibrate 67mg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Req3!$C$154:$AG$154</c:f>
              <c:numCache>
                <c:ptCount val="31"/>
                <c:pt idx="0">
                  <c:v>0.010950883660414181</c:v>
                </c:pt>
                <c:pt idx="1">
                  <c:v>0.011343702490936733</c:v>
                </c:pt>
                <c:pt idx="2">
                  <c:v>0.010768047467311284</c:v>
                </c:pt>
                <c:pt idx="3">
                  <c:v>0.010584343991179712</c:v>
                </c:pt>
                <c:pt idx="4">
                  <c:v>0.010466820180029307</c:v>
                </c:pt>
                <c:pt idx="5">
                  <c:v>0.011876484560570071</c:v>
                </c:pt>
                <c:pt idx="6">
                  <c:v>0.010707784559374666</c:v>
                </c:pt>
                <c:pt idx="7">
                  <c:v>0.009473060982830076</c:v>
                </c:pt>
                <c:pt idx="8">
                  <c:v>0.010473062927132333</c:v>
                </c:pt>
                <c:pt idx="9">
                  <c:v>0.011218765935747067</c:v>
                </c:pt>
                <c:pt idx="10">
                  <c:v>0.010407715076864318</c:v>
                </c:pt>
                <c:pt idx="11">
                  <c:v>0.01132187903466084</c:v>
                </c:pt>
                <c:pt idx="12">
                  <c:v>0.01270712615634848</c:v>
                </c:pt>
                <c:pt idx="13">
                  <c:v>0.010626783430089541</c:v>
                </c:pt>
                <c:pt idx="14">
                  <c:v>0.010760118460019744</c:v>
                </c:pt>
                <c:pt idx="15">
                  <c:v>0.011806375442739079</c:v>
                </c:pt>
                <c:pt idx="16">
                  <c:v>0.010774218154080854</c:v>
                </c:pt>
                <c:pt idx="17">
                  <c:v>0.009029975795941166</c:v>
                </c:pt>
                <c:pt idx="18">
                  <c:v>0.011139339456712917</c:v>
                </c:pt>
                <c:pt idx="19">
                  <c:v>0.009166998804304504</c:v>
                </c:pt>
                <c:pt idx="20">
                  <c:v>0.010065918403705684</c:v>
                </c:pt>
                <c:pt idx="21">
                  <c:v>0.008831794460056202</c:v>
                </c:pt>
                <c:pt idx="22">
                  <c:v>0.00865877363491783</c:v>
                </c:pt>
                <c:pt idx="23">
                  <c:v>0.008569133267874677</c:v>
                </c:pt>
                <c:pt idx="24">
                  <c:v>0.009559315553006405</c:v>
                </c:pt>
                <c:pt idx="25">
                  <c:v>0.008605072463768116</c:v>
                </c:pt>
                <c:pt idx="26">
                  <c:v>0.009430293602955473</c:v>
                </c:pt>
                <c:pt idx="27">
                  <c:v>0.008367471454719777</c:v>
                </c:pt>
                <c:pt idx="28">
                  <c:v>0.007525614289600145</c:v>
                </c:pt>
                <c:pt idx="29">
                  <c:v>0.007525325615050651</c:v>
                </c:pt>
                <c:pt idx="30">
                  <c:v>0.008469601677148848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Req3!$B$155</c:f>
              <c:strCache>
                <c:ptCount val="1"/>
                <c:pt idx="0">
                  <c:v>Fénofibrate 100mg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Req3!$C$155:$AG$155</c:f>
              <c:numCache>
                <c:ptCount val="31"/>
                <c:pt idx="0">
                  <c:v>0.003469586902309444</c:v>
                </c:pt>
                <c:pt idx="1">
                  <c:v>0.003274470822126067</c:v>
                </c:pt>
                <c:pt idx="2">
                  <c:v>0.003955609273706186</c:v>
                </c:pt>
                <c:pt idx="3">
                  <c:v>0.0030871003307607497</c:v>
                </c:pt>
                <c:pt idx="4">
                  <c:v>0.0036633870630102573</c:v>
                </c:pt>
                <c:pt idx="5">
                  <c:v>0.0036145822575648044</c:v>
                </c:pt>
                <c:pt idx="6">
                  <c:v>0.003426491058999893</c:v>
                </c:pt>
                <c:pt idx="7">
                  <c:v>0.0041444641799881585</c:v>
                </c:pt>
                <c:pt idx="8">
                  <c:v>0.0032839265110499688</c:v>
                </c:pt>
                <c:pt idx="9">
                  <c:v>0.0038755736868944417</c:v>
                </c:pt>
                <c:pt idx="10">
                  <c:v>0.0039148286068939175</c:v>
                </c:pt>
                <c:pt idx="11">
                  <c:v>0.004171218591717152</c:v>
                </c:pt>
                <c:pt idx="12">
                  <c:v>0.0034563383145267868</c:v>
                </c:pt>
                <c:pt idx="13">
                  <c:v>0.004034241857719177</c:v>
                </c:pt>
                <c:pt idx="14">
                  <c:v>0.0034550839091806516</c:v>
                </c:pt>
                <c:pt idx="15">
                  <c:v>0.0033451397087760726</c:v>
                </c:pt>
                <c:pt idx="16">
                  <c:v>0.004195270785659802</c:v>
                </c:pt>
                <c:pt idx="17">
                  <c:v>0.0030720536212995716</c:v>
                </c:pt>
                <c:pt idx="18">
                  <c:v>0.0036153996482313857</c:v>
                </c:pt>
                <c:pt idx="19">
                  <c:v>0.0035870864886408927</c:v>
                </c:pt>
                <c:pt idx="20">
                  <c:v>0.00347407803313736</c:v>
                </c:pt>
                <c:pt idx="21">
                  <c:v>0.003010839020473705</c:v>
                </c:pt>
                <c:pt idx="22">
                  <c:v>0.0030924191553277965</c:v>
                </c:pt>
                <c:pt idx="23">
                  <c:v>0.00294563956083192</c:v>
                </c:pt>
                <c:pt idx="24">
                  <c:v>0.0030589809769620497</c:v>
                </c:pt>
                <c:pt idx="25">
                  <c:v>0.003532608695652174</c:v>
                </c:pt>
                <c:pt idx="26">
                  <c:v>0.0033054637371184134</c:v>
                </c:pt>
                <c:pt idx="27">
                  <c:v>0.0031378017955199164</c:v>
                </c:pt>
                <c:pt idx="28">
                  <c:v>0.0029014416538217427</c:v>
                </c:pt>
                <c:pt idx="29">
                  <c:v>0.002894356005788712</c:v>
                </c:pt>
                <c:pt idx="30">
                  <c:v>0.002851153039832285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Req3!$B$156</c:f>
              <c:strCache>
                <c:ptCount val="1"/>
                <c:pt idx="0">
                  <c:v>Fénofibrate 140mg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Req3!$C$156:$AG$156</c:f>
              <c:numCache>
                <c:ptCount val="31"/>
                <c:pt idx="0">
                  <c:v>0.001843218041851892</c:v>
                </c:pt>
                <c:pt idx="1">
                  <c:v>0.001754180797567536</c:v>
                </c:pt>
                <c:pt idx="2">
                  <c:v>0.0017580485660916383</c:v>
                </c:pt>
                <c:pt idx="3">
                  <c:v>0.0011025358324145535</c:v>
                </c:pt>
                <c:pt idx="4">
                  <c:v>0.001465354825204103</c:v>
                </c:pt>
                <c:pt idx="5">
                  <c:v>0.00123928534545079</c:v>
                </c:pt>
                <c:pt idx="6">
                  <c:v>0.0010707784559374665</c:v>
                </c:pt>
                <c:pt idx="7">
                  <c:v>0.0010657193605683837</c:v>
                </c:pt>
                <c:pt idx="8">
                  <c:v>0.0016863406408094434</c:v>
                </c:pt>
                <c:pt idx="9">
                  <c:v>0.001631820499745028</c:v>
                </c:pt>
                <c:pt idx="10">
                  <c:v>0.0015277379929342118</c:v>
                </c:pt>
                <c:pt idx="11">
                  <c:v>0.0015890356539874863</c:v>
                </c:pt>
                <c:pt idx="12">
                  <c:v>0.0018298261665141812</c:v>
                </c:pt>
                <c:pt idx="13">
                  <c:v>0.0014759421430679918</c:v>
                </c:pt>
                <c:pt idx="14">
                  <c:v>0.0014807502467917078</c:v>
                </c:pt>
                <c:pt idx="15">
                  <c:v>0.0012790240062967337</c:v>
                </c:pt>
                <c:pt idx="16">
                  <c:v>0.0015255530129672007</c:v>
                </c:pt>
                <c:pt idx="17">
                  <c:v>0.0012102029417240738</c:v>
                </c:pt>
                <c:pt idx="18">
                  <c:v>0.0017588430721125659</c:v>
                </c:pt>
                <c:pt idx="19">
                  <c:v>0.0009964129135113591</c:v>
                </c:pt>
                <c:pt idx="20">
                  <c:v>0.0015143417067521824</c:v>
                </c:pt>
                <c:pt idx="21">
                  <c:v>0.0009032517061421116</c:v>
                </c:pt>
                <c:pt idx="22">
                  <c:v>0.0010602579961123874</c:v>
                </c:pt>
                <c:pt idx="23">
                  <c:v>0.0011604034633580292</c:v>
                </c:pt>
                <c:pt idx="24">
                  <c:v>0.0009559315553006405</c:v>
                </c:pt>
                <c:pt idx="25">
                  <c:v>0.0008152173913043478</c:v>
                </c:pt>
                <c:pt idx="26">
                  <c:v>0.0006805366517596734</c:v>
                </c:pt>
                <c:pt idx="27">
                  <c:v>0.0006972892878933148</c:v>
                </c:pt>
                <c:pt idx="28">
                  <c:v>0.0007253604134554357</c:v>
                </c:pt>
                <c:pt idx="29">
                  <c:v>0.0005788712011577424</c:v>
                </c:pt>
                <c:pt idx="30">
                  <c:v>0.001090146750524109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Req3!$B$157</c:f>
              <c:strCache>
                <c:ptCount val="1"/>
                <c:pt idx="0">
                  <c:v>Fénofibrate 145mg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Req3!$C$157:$AG$157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0.0016034206306787815</c:v>
                </c:pt>
                <c:pt idx="21">
                  <c:v>0.008530710558008832</c:v>
                </c:pt>
                <c:pt idx="22">
                  <c:v>0.012458031454320551</c:v>
                </c:pt>
                <c:pt idx="23">
                  <c:v>0.01865571721860216</c:v>
                </c:pt>
                <c:pt idx="24">
                  <c:v>0.025140999904406845</c:v>
                </c:pt>
                <c:pt idx="25">
                  <c:v>0.028079710144927536</c:v>
                </c:pt>
                <c:pt idx="26">
                  <c:v>0.02508263659342796</c:v>
                </c:pt>
                <c:pt idx="27">
                  <c:v>0.029721955896452542</c:v>
                </c:pt>
                <c:pt idx="28">
                  <c:v>0.03363858917399583</c:v>
                </c:pt>
                <c:pt idx="29">
                  <c:v>0.030197780993728895</c:v>
                </c:pt>
                <c:pt idx="30">
                  <c:v>0.03421383647798742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Req3!$B$158</c:f>
              <c:strCache>
                <c:ptCount val="1"/>
                <c:pt idx="0">
                  <c:v>Fénofibrate 160mg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Req3!$C$158:$AG$158</c:f>
              <c:numCache>
                <c:ptCount val="31"/>
                <c:pt idx="0">
                  <c:v>0.10614767429252954</c:v>
                </c:pt>
                <c:pt idx="1">
                  <c:v>0.10583557478657467</c:v>
                </c:pt>
                <c:pt idx="2">
                  <c:v>0.10724096253158993</c:v>
                </c:pt>
                <c:pt idx="3">
                  <c:v>0.10848952590959206</c:v>
                </c:pt>
                <c:pt idx="4">
                  <c:v>0.10864559346870421</c:v>
                </c:pt>
                <c:pt idx="5">
                  <c:v>0.10523598058452958</c:v>
                </c:pt>
                <c:pt idx="6">
                  <c:v>0.11050433665274655</c:v>
                </c:pt>
                <c:pt idx="7">
                  <c:v>0.10467732386027236</c:v>
                </c:pt>
                <c:pt idx="8">
                  <c:v>0.10384308156563415</c:v>
                </c:pt>
                <c:pt idx="9">
                  <c:v>0.10494645588985212</c:v>
                </c:pt>
                <c:pt idx="10">
                  <c:v>0.10197651102835864</c:v>
                </c:pt>
                <c:pt idx="11">
                  <c:v>0.10328731750918661</c:v>
                </c:pt>
                <c:pt idx="12">
                  <c:v>0.10236860831554336</c:v>
                </c:pt>
                <c:pt idx="13">
                  <c:v>0.10085604644297944</c:v>
                </c:pt>
                <c:pt idx="14">
                  <c:v>0.09802566633761106</c:v>
                </c:pt>
                <c:pt idx="15">
                  <c:v>0.09907516725698544</c:v>
                </c:pt>
                <c:pt idx="16">
                  <c:v>0.10001906941266209</c:v>
                </c:pt>
                <c:pt idx="17">
                  <c:v>0.0960714950660957</c:v>
                </c:pt>
                <c:pt idx="18">
                  <c:v>0.0988860660543287</c:v>
                </c:pt>
                <c:pt idx="19">
                  <c:v>0.09475886807493025</c:v>
                </c:pt>
                <c:pt idx="20">
                  <c:v>0.09629431676465348</c:v>
                </c:pt>
                <c:pt idx="21">
                  <c:v>0.09132878362103573</c:v>
                </c:pt>
                <c:pt idx="22">
                  <c:v>0.08641102668315957</c:v>
                </c:pt>
                <c:pt idx="23">
                  <c:v>0.0835490493617781</c:v>
                </c:pt>
                <c:pt idx="24">
                  <c:v>0.07398910238026957</c:v>
                </c:pt>
                <c:pt idx="25">
                  <c:v>0.07065217391304347</c:v>
                </c:pt>
                <c:pt idx="26">
                  <c:v>0.07174800699980556</c:v>
                </c:pt>
                <c:pt idx="27">
                  <c:v>0.06571951538394491</c:v>
                </c:pt>
                <c:pt idx="28">
                  <c:v>0.06174630519539396</c:v>
                </c:pt>
                <c:pt idx="29">
                  <c:v>0.06174626145682586</c:v>
                </c:pt>
                <c:pt idx="30">
                  <c:v>0.05836477987421384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Req3!$B$159</c:f>
              <c:strCache>
                <c:ptCount val="1"/>
                <c:pt idx="0">
                  <c:v>Fénofibrate 200mg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Req3!$C$159:$AG$159</c:f>
              <c:numCache>
                <c:ptCount val="31"/>
                <c:pt idx="0">
                  <c:v>0.0729697495391955</c:v>
                </c:pt>
                <c:pt idx="1">
                  <c:v>0.07157057654075547</c:v>
                </c:pt>
                <c:pt idx="2">
                  <c:v>0.07164047906823426</c:v>
                </c:pt>
                <c:pt idx="3">
                  <c:v>0.06923925027563396</c:v>
                </c:pt>
                <c:pt idx="4">
                  <c:v>0.0708603726187984</c:v>
                </c:pt>
                <c:pt idx="5">
                  <c:v>0.06867706289373128</c:v>
                </c:pt>
                <c:pt idx="6">
                  <c:v>0.06831566548881036</c:v>
                </c:pt>
                <c:pt idx="7">
                  <c:v>0.07057430432208407</c:v>
                </c:pt>
                <c:pt idx="8">
                  <c:v>0.07038253306115204</c:v>
                </c:pt>
                <c:pt idx="9">
                  <c:v>0.06568077511473738</c:v>
                </c:pt>
                <c:pt idx="10">
                  <c:v>0.06788885706101404</c:v>
                </c:pt>
                <c:pt idx="11">
                  <c:v>0.06475320289999006</c:v>
                </c:pt>
                <c:pt idx="12">
                  <c:v>0.0677035681610247</c:v>
                </c:pt>
                <c:pt idx="13">
                  <c:v>0.06257994686608286</c:v>
                </c:pt>
                <c:pt idx="14">
                  <c:v>0.0665350444225074</c:v>
                </c:pt>
                <c:pt idx="15">
                  <c:v>0.06562377016922472</c:v>
                </c:pt>
                <c:pt idx="16">
                  <c:v>0.06188024408848208</c:v>
                </c:pt>
                <c:pt idx="17">
                  <c:v>0.06227890523180041</c:v>
                </c:pt>
                <c:pt idx="18">
                  <c:v>0.06429548563611491</c:v>
                </c:pt>
                <c:pt idx="19">
                  <c:v>0.06058190514149064</c:v>
                </c:pt>
                <c:pt idx="20">
                  <c:v>0.062444325672545875</c:v>
                </c:pt>
                <c:pt idx="21">
                  <c:v>0.05871136089923725</c:v>
                </c:pt>
                <c:pt idx="22">
                  <c:v>0.05981622194734052</c:v>
                </c:pt>
                <c:pt idx="23">
                  <c:v>0.059269838436133176</c:v>
                </c:pt>
                <c:pt idx="24">
                  <c:v>0.05410572603001625</c:v>
                </c:pt>
                <c:pt idx="25">
                  <c:v>0.05416666666666667</c:v>
                </c:pt>
                <c:pt idx="26">
                  <c:v>0.05697063970445265</c:v>
                </c:pt>
                <c:pt idx="27">
                  <c:v>0.05098927917719864</c:v>
                </c:pt>
                <c:pt idx="28">
                  <c:v>0.05358600054402031</c:v>
                </c:pt>
                <c:pt idx="29">
                  <c:v>0.053835021707670044</c:v>
                </c:pt>
                <c:pt idx="30">
                  <c:v>0.0529979035639413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Req3!$B$160</c:f>
              <c:strCache>
                <c:ptCount val="1"/>
                <c:pt idx="0">
                  <c:v>Fénofibrate 300mg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Req3!$C$160:$AG$160</c:f>
              <c:numCache>
                <c:ptCount val="31"/>
                <c:pt idx="0">
                  <c:v>0.022660739455708553</c:v>
                </c:pt>
                <c:pt idx="1">
                  <c:v>0.021284060343819435</c:v>
                </c:pt>
                <c:pt idx="2">
                  <c:v>0.021426216899241842</c:v>
                </c:pt>
                <c:pt idx="3">
                  <c:v>0.020066152149944873</c:v>
                </c:pt>
                <c:pt idx="4">
                  <c:v>0.021980322378061544</c:v>
                </c:pt>
                <c:pt idx="5">
                  <c:v>0.020758029536300734</c:v>
                </c:pt>
                <c:pt idx="6">
                  <c:v>0.022058036192311812</c:v>
                </c:pt>
                <c:pt idx="7">
                  <c:v>0.020959147424511545</c:v>
                </c:pt>
                <c:pt idx="8">
                  <c:v>0.02041359723085116</c:v>
                </c:pt>
                <c:pt idx="9">
                  <c:v>0.019071902090770015</c:v>
                </c:pt>
                <c:pt idx="10">
                  <c:v>0.01909672491167765</c:v>
                </c:pt>
                <c:pt idx="11">
                  <c:v>0.019167742576224053</c:v>
                </c:pt>
                <c:pt idx="12">
                  <c:v>0.01982311680390363</c:v>
                </c:pt>
                <c:pt idx="13">
                  <c:v>0.021056774574436683</c:v>
                </c:pt>
                <c:pt idx="14">
                  <c:v>0.018854886475814413</c:v>
                </c:pt>
                <c:pt idx="15">
                  <c:v>0.01702085792994884</c:v>
                </c:pt>
                <c:pt idx="16">
                  <c:v>0.01897406559877956</c:v>
                </c:pt>
                <c:pt idx="17">
                  <c:v>0.017035933718115806</c:v>
                </c:pt>
                <c:pt idx="18">
                  <c:v>0.017686144225131914</c:v>
                </c:pt>
                <c:pt idx="19">
                  <c:v>0.017437225986448784</c:v>
                </c:pt>
                <c:pt idx="20">
                  <c:v>0.017370390165686797</c:v>
                </c:pt>
                <c:pt idx="21">
                  <c:v>0.015957446808510637</c:v>
                </c:pt>
                <c:pt idx="22">
                  <c:v>0.01652235377275137</c:v>
                </c:pt>
                <c:pt idx="23">
                  <c:v>0.014281888779791127</c:v>
                </c:pt>
                <c:pt idx="24">
                  <c:v>0.015772870662460567</c:v>
                </c:pt>
                <c:pt idx="25">
                  <c:v>0.014221014492753623</c:v>
                </c:pt>
                <c:pt idx="26">
                  <c:v>0.014971806338712814</c:v>
                </c:pt>
                <c:pt idx="27">
                  <c:v>0.01507888085069293</c:v>
                </c:pt>
                <c:pt idx="28">
                  <c:v>0.013056487442197843</c:v>
                </c:pt>
                <c:pt idx="29">
                  <c:v>0.014857694163048722</c:v>
                </c:pt>
                <c:pt idx="30">
                  <c:v>0.012914046121593291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Req3!$B$161</c:f>
              <c:strCache>
                <c:ptCount val="1"/>
                <c:pt idx="0">
                  <c:v>CADUET® (=TAHOR® 10mg)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Req3!$C$132:$AG$132</c:f>
              <c:strCache>
                <c:ptCount val="31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</c:strCache>
            </c:strRef>
          </c:cat>
          <c:val>
            <c:numRef>
              <c:f>Req3!$C$161:$AG$161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0.00025157232704402514</c:v>
                </c:pt>
              </c:numCache>
            </c:numRef>
          </c:val>
          <c:smooth val="0"/>
        </c:ser>
        <c:marker val="1"/>
        <c:axId val="24458692"/>
        <c:axId val="18801637"/>
      </c:lineChart>
      <c:dateAx>
        <c:axId val="2445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42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801637"/>
        <c:crosses val="autoZero"/>
        <c:auto val="0"/>
        <c:noMultiLvlLbl val="0"/>
      </c:dateAx>
      <c:valAx>
        <c:axId val="18801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Nbre boites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586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"/>
          <c:w val="0.175"/>
          <c:h val="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0.6485</cdr:x>
      <cdr:y>0.218</cdr:y>
    </cdr:from>
    <cdr:to>
      <cdr:x>0.8035</cdr:x>
      <cdr:y>0.277</cdr:y>
    </cdr:to>
    <cdr:sp>
      <cdr:nvSpPr>
        <cdr:cNvPr id="1" name="AutoShape 1"/>
        <cdr:cNvSpPr>
          <a:spLocks/>
        </cdr:cNvSpPr>
      </cdr:nvSpPr>
      <cdr:spPr>
        <a:xfrm rot="20993986">
          <a:off x="5991225" y="1247775"/>
          <a:ext cx="1428750" cy="342900"/>
        </a:xfrm>
        <a:prstGeom prst="curvedDownArrow">
          <a:avLst>
            <a:gd name="adj1" fmla="val 37060"/>
            <a:gd name="adj2" fmla="val -24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0.62975</cdr:x>
      <cdr:y>0.2045</cdr:y>
    </cdr:from>
    <cdr:to>
      <cdr:x>0.6885</cdr:x>
      <cdr:y>0.26375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0" y="1171575"/>
          <a:ext cx="542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+7,2%</a:t>
          </a:r>
        </a:p>
      </cdr:txBody>
    </cdr:sp>
  </cdr:relSizeAnchor>
  <cdr:relSizeAnchor xmlns:cdr="http://schemas.openxmlformats.org/drawingml/2006/chartDrawing">
    <cdr:from>
      <cdr:x>0.1295</cdr:x>
      <cdr:y>0.218</cdr:y>
    </cdr:from>
    <cdr:to>
      <cdr:x>0.54525</cdr:x>
      <cdr:y>0.292</cdr:y>
    </cdr:to>
    <cdr:sp>
      <cdr:nvSpPr>
        <cdr:cNvPr id="3" name="TextBox 3"/>
        <cdr:cNvSpPr txBox="1">
          <a:spLocks noChangeArrowheads="1"/>
        </cdr:cNvSpPr>
      </cdr:nvSpPr>
      <cdr:spPr>
        <a:xfrm>
          <a:off x="1190625" y="1247775"/>
          <a:ext cx="38385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patientèle sous hypolipémiant a augmenté de +11,8% en un an et de 7,2% depuis août 2006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0.40025</cdr:x>
      <cdr:y>0.1945</cdr:y>
    </cdr:from>
    <cdr:to>
      <cdr:x>0.6555</cdr:x>
      <cdr:y>0.242</cdr:y>
    </cdr:to>
    <cdr:sp>
      <cdr:nvSpPr>
        <cdr:cNvPr id="1" name="AutoShape 1"/>
        <cdr:cNvSpPr>
          <a:spLocks/>
        </cdr:cNvSpPr>
      </cdr:nvSpPr>
      <cdr:spPr>
        <a:xfrm>
          <a:off x="3695700" y="1114425"/>
          <a:ext cx="2362200" cy="276225"/>
        </a:xfrm>
        <a:prstGeom prst="wedgeRectCallout">
          <a:avLst>
            <a:gd name="adj1" fmla="val 74041"/>
            <a:gd name="adj2" fmla="val 240476"/>
          </a:avLst>
        </a:prstGeom>
        <a:solidFill>
          <a:srgbClr val="CCFFCC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 visites 18/09/06 au 13/10/06 </a:t>
          </a:r>
        </a:p>
      </cdr:txBody>
    </cdr:sp>
  </cdr:relSizeAnchor>
  <cdr:relSizeAnchor xmlns:cdr="http://schemas.openxmlformats.org/drawingml/2006/chartDrawing">
    <cdr:from>
      <cdr:x>0.68</cdr:x>
      <cdr:y>0.1835</cdr:y>
    </cdr:from>
    <cdr:to>
      <cdr:x>0.938</cdr:x>
      <cdr:y>0.2615</cdr:y>
    </cdr:to>
    <cdr:sp>
      <cdr:nvSpPr>
        <cdr:cNvPr id="2" name="AutoShape 2"/>
        <cdr:cNvSpPr>
          <a:spLocks/>
        </cdr:cNvSpPr>
      </cdr:nvSpPr>
      <cdr:spPr>
        <a:xfrm>
          <a:off x="6276975" y="1047750"/>
          <a:ext cx="2381250" cy="447675"/>
        </a:xfrm>
        <a:prstGeom prst="wedgeRectCallout">
          <a:avLst>
            <a:gd name="adj1" fmla="val -28851"/>
            <a:gd name="adj2" fmla="val 130745"/>
          </a:avLst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15 visites 14/10/06 au 15/11/06 </a:t>
          </a:r>
          <a:r>
            <a:rPr lang="en-US" cap="none" sz="1000" b="0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(1ère visite = 14 ;  2ème visite = 1) </a:t>
          </a:r>
        </a:p>
      </cdr:txBody>
    </cdr:sp>
  </cdr:relSizeAnchor>
  <cdr:relSizeAnchor xmlns:cdr="http://schemas.openxmlformats.org/drawingml/2006/chartDrawing">
    <cdr:from>
      <cdr:x>0.439</cdr:x>
      <cdr:y>0.384</cdr:y>
    </cdr:from>
    <cdr:to>
      <cdr:x>0.687</cdr:x>
      <cdr:y>0.46</cdr:y>
    </cdr:to>
    <cdr:sp>
      <cdr:nvSpPr>
        <cdr:cNvPr id="3" name="AutoShape 3"/>
        <cdr:cNvSpPr>
          <a:spLocks/>
        </cdr:cNvSpPr>
      </cdr:nvSpPr>
      <cdr:spPr>
        <a:xfrm>
          <a:off x="4048125" y="2200275"/>
          <a:ext cx="2295525" cy="438150"/>
        </a:xfrm>
        <a:prstGeom prst="wedgeRectCallout">
          <a:avLst>
            <a:gd name="adj1" fmla="val 78208"/>
            <a:gd name="adj2" fmla="val -108851"/>
          </a:avLst>
        </a:prstGeom>
        <a:solidFill>
          <a:srgbClr val="FFCC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 visites 16/11/06 au 16/12/06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(1ère visite = 44 ; 2ème visite = 5) </a:t>
          </a:r>
        </a:p>
      </cdr:txBody>
    </cdr:sp>
  </cdr:relSizeAnchor>
  <cdr:relSizeAnchor xmlns:cdr="http://schemas.openxmlformats.org/drawingml/2006/chartDrawing">
    <cdr:from>
      <cdr:x>0.7225</cdr:x>
      <cdr:y>0.364</cdr:y>
    </cdr:from>
    <cdr:to>
      <cdr:x>0.979</cdr:x>
      <cdr:y>0.45375</cdr:y>
    </cdr:to>
    <cdr:sp>
      <cdr:nvSpPr>
        <cdr:cNvPr id="4" name="AutoShape 4"/>
        <cdr:cNvSpPr>
          <a:spLocks/>
        </cdr:cNvSpPr>
      </cdr:nvSpPr>
      <cdr:spPr>
        <a:xfrm>
          <a:off x="6667500" y="2085975"/>
          <a:ext cx="2371725" cy="514350"/>
        </a:xfrm>
        <a:prstGeom prst="wedgeRectCallout">
          <a:avLst>
            <a:gd name="adj1" fmla="val -28541"/>
            <a:gd name="adj2" fmla="val -84555"/>
          </a:avLst>
        </a:prstGeom>
        <a:solidFill>
          <a:srgbClr val="FFCC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 visites 17/12/06 au 16/01/07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(1ère visite = 14 ;  2ème visite = 16 ; 3ème = 1) </a:t>
          </a:r>
        </a:p>
      </cdr:txBody>
    </cdr:sp>
  </cdr:relSizeAnchor>
  <cdr:relSizeAnchor xmlns:cdr="http://schemas.openxmlformats.org/drawingml/2006/chartDrawing">
    <cdr:from>
      <cdr:x>0.81375</cdr:x>
      <cdr:y>0.3075</cdr:y>
    </cdr:from>
    <cdr:to>
      <cdr:x>0.835</cdr:x>
      <cdr:y>0.34775</cdr:y>
    </cdr:to>
    <cdr:sp>
      <cdr:nvSpPr>
        <cdr:cNvPr id="5" name="AutoShape 5"/>
        <cdr:cNvSpPr>
          <a:spLocks/>
        </cdr:cNvSpPr>
      </cdr:nvSpPr>
      <cdr:spPr>
        <a:xfrm>
          <a:off x="7515225" y="1762125"/>
          <a:ext cx="200025" cy="2286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0.85275</cdr:x>
      <cdr:y>0.27825</cdr:y>
    </cdr:from>
    <cdr:to>
      <cdr:x>0.97925</cdr:x>
      <cdr:y>0.364</cdr:y>
    </cdr:to>
    <cdr:sp>
      <cdr:nvSpPr>
        <cdr:cNvPr id="6" name="TextBox 6"/>
        <cdr:cNvSpPr txBox="1">
          <a:spLocks noChangeArrowheads="1"/>
        </cdr:cNvSpPr>
      </cdr:nvSpPr>
      <cdr:spPr>
        <a:xfrm>
          <a:off x="7877175" y="1600200"/>
          <a:ext cx="11715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+3,1% depuis  
   sept-06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8"/>
  <sheetViews>
    <sheetView workbookViewId="0" topLeftCell="A13">
      <selection activeCell="C4" sqref="C4:D28"/>
    </sheetView>
  </sheetViews>
  <sheetFormatPr defaultColWidth="11.421875" defaultRowHeight="12.75"/>
  <cols>
    <col min="2" max="2" width="26.8515625" style="0" bestFit="1" customWidth="1"/>
    <col min="3" max="18" width="11.7109375" style="0" bestFit="1" customWidth="1"/>
  </cols>
  <sheetData>
    <row r="1" ht="18">
      <c r="B1" s="21" t="s">
        <v>78</v>
      </c>
    </row>
    <row r="3" spans="1:22" s="70" customFormat="1" ht="39" thickBot="1">
      <c r="A3" s="72" t="s">
        <v>73</v>
      </c>
      <c r="B3" s="76" t="s">
        <v>0</v>
      </c>
      <c r="C3" s="76" t="s">
        <v>81</v>
      </c>
      <c r="D3" s="76" t="s">
        <v>82</v>
      </c>
      <c r="E3" s="76" t="s">
        <v>83</v>
      </c>
      <c r="F3" s="76" t="s">
        <v>84</v>
      </c>
      <c r="G3" s="76" t="s">
        <v>85</v>
      </c>
      <c r="H3" s="76" t="s">
        <v>86</v>
      </c>
      <c r="I3" s="76" t="s">
        <v>87</v>
      </c>
      <c r="J3" s="76" t="s">
        <v>88</v>
      </c>
      <c r="K3" s="76" t="s">
        <v>89</v>
      </c>
      <c r="L3" s="76" t="s">
        <v>90</v>
      </c>
      <c r="M3" s="76" t="s">
        <v>91</v>
      </c>
      <c r="N3" s="76" t="s">
        <v>92</v>
      </c>
      <c r="O3" s="76" t="s">
        <v>93</v>
      </c>
      <c r="P3" s="76" t="s">
        <v>94</v>
      </c>
      <c r="Q3" s="76" t="s">
        <v>95</v>
      </c>
      <c r="R3" s="76" t="s">
        <v>96</v>
      </c>
      <c r="S3" s="76" t="s">
        <v>97</v>
      </c>
      <c r="T3" s="76" t="s">
        <v>98</v>
      </c>
      <c r="U3" s="76" t="s">
        <v>99</v>
      </c>
      <c r="V3" s="76" t="s">
        <v>100</v>
      </c>
    </row>
    <row r="4" spans="1:22" ht="26.25" thickTop="1">
      <c r="A4" s="94">
        <v>1</v>
      </c>
      <c r="B4" s="77" t="s">
        <v>43</v>
      </c>
      <c r="C4" s="95">
        <v>0</v>
      </c>
      <c r="D4" s="95">
        <v>0</v>
      </c>
      <c r="E4" s="95">
        <v>0</v>
      </c>
      <c r="F4" s="95">
        <v>0</v>
      </c>
      <c r="G4" s="95">
        <v>0</v>
      </c>
      <c r="H4" s="95">
        <v>0</v>
      </c>
      <c r="I4" s="95">
        <v>8.28</v>
      </c>
      <c r="J4" s="95">
        <v>60.03</v>
      </c>
      <c r="K4" s="95">
        <v>152.766</v>
      </c>
      <c r="L4" s="95">
        <v>247.572</v>
      </c>
      <c r="M4" s="95">
        <v>377.982</v>
      </c>
      <c r="N4" s="95">
        <v>516.672</v>
      </c>
      <c r="O4" s="95">
        <v>673.992</v>
      </c>
      <c r="P4" s="95">
        <v>804.402</v>
      </c>
      <c r="Q4" s="95">
        <v>981.594</v>
      </c>
      <c r="R4" s="95">
        <v>1201.842</v>
      </c>
      <c r="S4" s="95">
        <v>1492.884</v>
      </c>
      <c r="T4" s="95">
        <v>1745.838</v>
      </c>
      <c r="U4" s="95">
        <v>1952.424</v>
      </c>
      <c r="V4" s="95">
        <v>2142.864</v>
      </c>
    </row>
    <row r="5" spans="1:22" ht="25.5">
      <c r="A5" s="94">
        <v>2</v>
      </c>
      <c r="B5" s="77" t="s">
        <v>44</v>
      </c>
      <c r="C5" s="95">
        <v>312238.917</v>
      </c>
      <c r="D5" s="95">
        <v>307578.327</v>
      </c>
      <c r="E5" s="95">
        <v>305902.652</v>
      </c>
      <c r="F5" s="95">
        <v>302921.1045</v>
      </c>
      <c r="G5" s="95">
        <v>299900.825</v>
      </c>
      <c r="H5" s="95">
        <v>297260.841</v>
      </c>
      <c r="I5" s="95">
        <v>294174.707</v>
      </c>
      <c r="J5" s="95">
        <v>290054.2925</v>
      </c>
      <c r="K5" s="95">
        <v>288823.697</v>
      </c>
      <c r="L5" s="95">
        <v>281253.706</v>
      </c>
      <c r="M5" s="95">
        <v>275154.866</v>
      </c>
      <c r="N5" s="95">
        <v>270081.8855</v>
      </c>
      <c r="O5" s="95">
        <v>267395.2855</v>
      </c>
      <c r="P5" s="95">
        <v>265506.434</v>
      </c>
      <c r="Q5" s="95">
        <v>262342.1995</v>
      </c>
      <c r="R5" s="95">
        <v>258645.6335</v>
      </c>
      <c r="S5" s="95">
        <v>258227.334</v>
      </c>
      <c r="T5" s="95">
        <v>255123.144</v>
      </c>
      <c r="U5" s="95">
        <v>250525.493</v>
      </c>
      <c r="V5" s="95">
        <v>250591.3655</v>
      </c>
    </row>
    <row r="6" spans="1:22" ht="25.5">
      <c r="A6" s="94">
        <v>3</v>
      </c>
      <c r="B6" s="77" t="s">
        <v>45</v>
      </c>
      <c r="C6" s="95">
        <v>108201.636</v>
      </c>
      <c r="D6" s="95">
        <v>108216.22</v>
      </c>
      <c r="E6" s="95">
        <v>109288.3405</v>
      </c>
      <c r="F6" s="95">
        <v>108766.437</v>
      </c>
      <c r="G6" s="95">
        <v>108852.775</v>
      </c>
      <c r="H6" s="95">
        <v>108427.3375</v>
      </c>
      <c r="I6" s="95">
        <v>107916.9125</v>
      </c>
      <c r="J6" s="95">
        <v>107437.5875</v>
      </c>
      <c r="K6" s="95">
        <v>106710.6125</v>
      </c>
      <c r="L6" s="95">
        <v>104568.575</v>
      </c>
      <c r="M6" s="95">
        <v>101970.7875</v>
      </c>
      <c r="N6" s="95">
        <v>101239.0125</v>
      </c>
      <c r="O6" s="95">
        <v>100854.8125</v>
      </c>
      <c r="P6" s="95">
        <v>100320.4625</v>
      </c>
      <c r="Q6" s="95">
        <v>99674.225</v>
      </c>
      <c r="R6" s="95">
        <v>99049.85</v>
      </c>
      <c r="S6" s="95">
        <v>99153.2125</v>
      </c>
      <c r="T6" s="95">
        <v>98579.9625</v>
      </c>
      <c r="U6" s="95">
        <v>97524.725</v>
      </c>
      <c r="V6" s="95">
        <v>97294.725</v>
      </c>
    </row>
    <row r="7" spans="1:22" ht="25.5">
      <c r="A7" s="94">
        <v>4</v>
      </c>
      <c r="B7" s="77" t="s">
        <v>46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7.189</v>
      </c>
      <c r="S7" s="95">
        <v>52.6345</v>
      </c>
      <c r="T7" s="95">
        <v>111.213</v>
      </c>
      <c r="U7" s="95">
        <v>187.501</v>
      </c>
      <c r="V7" s="95">
        <v>321.6755</v>
      </c>
    </row>
    <row r="8" spans="1:22" ht="25.5">
      <c r="A8" s="94">
        <v>5</v>
      </c>
      <c r="B8" s="77" t="s">
        <v>47</v>
      </c>
      <c r="C8" s="95">
        <v>395427.711</v>
      </c>
      <c r="D8" s="95">
        <v>393730.152</v>
      </c>
      <c r="E8" s="95">
        <v>394800.024</v>
      </c>
      <c r="F8" s="95">
        <v>394624.2285</v>
      </c>
      <c r="G8" s="95">
        <v>394067.7225</v>
      </c>
      <c r="H8" s="95">
        <v>392126.4225</v>
      </c>
      <c r="I8" s="95">
        <v>391658.3535</v>
      </c>
      <c r="J8" s="95">
        <v>390695.253</v>
      </c>
      <c r="K8" s="95">
        <v>392504.976</v>
      </c>
      <c r="L8" s="95">
        <v>388116.5595</v>
      </c>
      <c r="M8" s="95">
        <v>384734.3835</v>
      </c>
      <c r="N8" s="95">
        <v>383218.0125</v>
      </c>
      <c r="O8" s="95">
        <v>380557.353</v>
      </c>
      <c r="P8" s="95">
        <v>375394.1</v>
      </c>
      <c r="Q8" s="95">
        <v>371082.9465</v>
      </c>
      <c r="R8" s="95">
        <v>360653.134</v>
      </c>
      <c r="S8" s="95">
        <v>354323.0035</v>
      </c>
      <c r="T8" s="95">
        <v>345410.3756</v>
      </c>
      <c r="U8" s="95">
        <v>332899.2859</v>
      </c>
      <c r="V8" s="95">
        <v>326010.9872</v>
      </c>
    </row>
    <row r="9" spans="1:22" ht="25.5">
      <c r="A9" s="94">
        <v>6</v>
      </c>
      <c r="B9" s="77" t="s">
        <v>48</v>
      </c>
      <c r="C9" s="95">
        <v>297765.083</v>
      </c>
      <c r="D9" s="95">
        <v>297882.156</v>
      </c>
      <c r="E9" s="95">
        <v>302185.598</v>
      </c>
      <c r="F9" s="95">
        <v>305031.683</v>
      </c>
      <c r="G9" s="95">
        <v>307183.404</v>
      </c>
      <c r="H9" s="95">
        <v>307568.9375</v>
      </c>
      <c r="I9" s="95">
        <v>309823.602</v>
      </c>
      <c r="J9" s="95">
        <v>312362.875</v>
      </c>
      <c r="K9" s="95">
        <v>314046.304</v>
      </c>
      <c r="L9" s="95">
        <v>312019.73</v>
      </c>
      <c r="M9" s="95">
        <v>310725.8715</v>
      </c>
      <c r="N9" s="95">
        <v>309240.2555</v>
      </c>
      <c r="O9" s="95">
        <v>308887.018</v>
      </c>
      <c r="P9" s="95">
        <v>307692.3565</v>
      </c>
      <c r="Q9" s="95">
        <v>304449.841</v>
      </c>
      <c r="R9" s="95">
        <v>296615.873</v>
      </c>
      <c r="S9" s="95">
        <v>290836.4782</v>
      </c>
      <c r="T9" s="95">
        <v>284411.5641</v>
      </c>
      <c r="U9" s="95">
        <v>273572.5608</v>
      </c>
      <c r="V9" s="95">
        <v>267836.5793</v>
      </c>
    </row>
    <row r="10" spans="1:22" ht="12.75">
      <c r="A10" s="94">
        <v>7</v>
      </c>
      <c r="B10" s="77" t="s">
        <v>49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232.712</v>
      </c>
      <c r="P10" s="95">
        <v>881.856</v>
      </c>
      <c r="Q10" s="95">
        <v>1681.038</v>
      </c>
      <c r="R10" s="95">
        <v>2754.269</v>
      </c>
      <c r="S10" s="95">
        <v>4666.2833</v>
      </c>
      <c r="T10" s="95">
        <v>7048.3146</v>
      </c>
      <c r="U10" s="95">
        <v>9479.3379</v>
      </c>
      <c r="V10" s="95">
        <v>12731.9159</v>
      </c>
    </row>
    <row r="11" spans="1:22" ht="25.5">
      <c r="A11" s="94">
        <v>8</v>
      </c>
      <c r="B11" s="77" t="s">
        <v>50</v>
      </c>
      <c r="C11" s="95">
        <v>16158.782</v>
      </c>
      <c r="D11" s="95">
        <v>16213.923</v>
      </c>
      <c r="E11" s="95">
        <v>16553.822</v>
      </c>
      <c r="F11" s="95">
        <v>16877.261</v>
      </c>
      <c r="G11" s="95">
        <v>17074.781</v>
      </c>
      <c r="H11" s="95">
        <v>17462.414</v>
      </c>
      <c r="I11" s="95">
        <v>17575.988</v>
      </c>
      <c r="J11" s="95">
        <v>17702.73</v>
      </c>
      <c r="K11" s="95">
        <v>17923.294</v>
      </c>
      <c r="L11" s="95">
        <v>17991.603</v>
      </c>
      <c r="M11" s="95">
        <v>18282.945</v>
      </c>
      <c r="N11" s="95">
        <v>18456.598</v>
      </c>
      <c r="O11" s="95">
        <v>18645.065</v>
      </c>
      <c r="P11" s="95">
        <v>18778.391</v>
      </c>
      <c r="Q11" s="95">
        <v>18864.6847</v>
      </c>
      <c r="R11" s="95">
        <v>18713.0384</v>
      </c>
      <c r="S11" s="95">
        <v>18777.7661</v>
      </c>
      <c r="T11" s="95">
        <v>18737.8408</v>
      </c>
      <c r="U11" s="95">
        <v>18618.3512</v>
      </c>
      <c r="V11" s="95">
        <v>18722.9339</v>
      </c>
    </row>
    <row r="12" spans="1:22" ht="25.5">
      <c r="A12" s="94">
        <v>9</v>
      </c>
      <c r="B12" s="77" t="s">
        <v>51</v>
      </c>
      <c r="C12" s="95">
        <v>40730.3715</v>
      </c>
      <c r="D12" s="95">
        <v>41127.282</v>
      </c>
      <c r="E12" s="95">
        <v>41746.9815</v>
      </c>
      <c r="F12" s="95">
        <v>41772.9375</v>
      </c>
      <c r="G12" s="95">
        <v>42103.8765</v>
      </c>
      <c r="H12" s="95">
        <v>42293.139</v>
      </c>
      <c r="I12" s="95">
        <v>42481.32</v>
      </c>
      <c r="J12" s="95">
        <v>42451.038</v>
      </c>
      <c r="K12" s="95">
        <v>42849.03</v>
      </c>
      <c r="L12" s="95">
        <v>42744.1245</v>
      </c>
      <c r="M12" s="95">
        <v>42063.861</v>
      </c>
      <c r="N12" s="95">
        <v>41832.42</v>
      </c>
      <c r="O12" s="95">
        <v>41673.4395</v>
      </c>
      <c r="P12" s="95">
        <v>41445.243</v>
      </c>
      <c r="Q12" s="95">
        <v>41209.476</v>
      </c>
      <c r="R12" s="95">
        <v>41232.198</v>
      </c>
      <c r="S12" s="95">
        <v>41461.848</v>
      </c>
      <c r="T12" s="95">
        <v>41442.761</v>
      </c>
      <c r="U12" s="95">
        <v>40940.2955</v>
      </c>
      <c r="V12" s="95">
        <v>41191.488</v>
      </c>
    </row>
    <row r="13" spans="1:22" ht="25.5">
      <c r="A13" s="94">
        <v>10</v>
      </c>
      <c r="B13" s="77" t="s">
        <v>52</v>
      </c>
      <c r="C13" s="95">
        <v>89393.7</v>
      </c>
      <c r="D13" s="95">
        <v>90895.44</v>
      </c>
      <c r="E13" s="95">
        <v>91967.67</v>
      </c>
      <c r="F13" s="95">
        <v>93129.51</v>
      </c>
      <c r="G13" s="95">
        <v>94516.92</v>
      </c>
      <c r="H13" s="95">
        <v>95530.44</v>
      </c>
      <c r="I13" s="95">
        <v>96670.65</v>
      </c>
      <c r="J13" s="95">
        <v>97381.35</v>
      </c>
      <c r="K13" s="95">
        <v>99601.515</v>
      </c>
      <c r="L13" s="95">
        <v>99508.815</v>
      </c>
      <c r="M13" s="95">
        <v>99391.395</v>
      </c>
      <c r="N13" s="95">
        <v>100075.83</v>
      </c>
      <c r="O13" s="95">
        <v>101038.365</v>
      </c>
      <c r="P13" s="95">
        <v>101260.845</v>
      </c>
      <c r="Q13" s="95">
        <v>102188.932</v>
      </c>
      <c r="R13" s="95">
        <v>102723.2716</v>
      </c>
      <c r="S13" s="95">
        <v>103454.4502</v>
      </c>
      <c r="T13" s="95">
        <v>103290.0151</v>
      </c>
      <c r="U13" s="95">
        <v>102776.2797</v>
      </c>
      <c r="V13" s="95">
        <v>103371.8758</v>
      </c>
    </row>
    <row r="14" spans="1:22" ht="12.75">
      <c r="A14" s="94">
        <v>11</v>
      </c>
      <c r="B14" s="77" t="s">
        <v>53</v>
      </c>
      <c r="C14" s="95">
        <v>294074.352</v>
      </c>
      <c r="D14" s="95">
        <v>296346.336</v>
      </c>
      <c r="E14" s="95">
        <v>301111.096</v>
      </c>
      <c r="F14" s="95">
        <v>304622.032</v>
      </c>
      <c r="G14" s="95">
        <v>308558.536</v>
      </c>
      <c r="H14" s="95">
        <v>312911.456</v>
      </c>
      <c r="I14" s="95">
        <v>316465.864</v>
      </c>
      <c r="J14" s="95">
        <v>320657.48</v>
      </c>
      <c r="K14" s="95">
        <v>326155.544</v>
      </c>
      <c r="L14" s="95">
        <v>326883.128</v>
      </c>
      <c r="M14" s="95">
        <v>328194.152</v>
      </c>
      <c r="N14" s="95">
        <v>331201.728</v>
      </c>
      <c r="O14" s="95">
        <v>335791.456</v>
      </c>
      <c r="P14" s="95">
        <v>338497.016</v>
      </c>
      <c r="Q14" s="95">
        <v>342244.76</v>
      </c>
      <c r="R14" s="95">
        <v>344524.752</v>
      </c>
      <c r="S14" s="95">
        <v>348659.0385</v>
      </c>
      <c r="T14" s="95">
        <v>349306.096</v>
      </c>
      <c r="U14" s="95">
        <v>343774.305</v>
      </c>
      <c r="V14" s="95">
        <v>342128.129</v>
      </c>
    </row>
    <row r="15" spans="1:22" ht="12.75">
      <c r="A15" s="94">
        <v>12</v>
      </c>
      <c r="B15" s="77" t="s">
        <v>54</v>
      </c>
      <c r="C15" s="95">
        <v>196746.8265</v>
      </c>
      <c r="D15" s="95">
        <v>198854.8785</v>
      </c>
      <c r="E15" s="95">
        <v>202765.2345</v>
      </c>
      <c r="F15" s="95">
        <v>206056.0485</v>
      </c>
      <c r="G15" s="95">
        <v>207894.5595</v>
      </c>
      <c r="H15" s="95">
        <v>209706.921</v>
      </c>
      <c r="I15" s="95">
        <v>212253.48</v>
      </c>
      <c r="J15" s="95">
        <v>214232.796</v>
      </c>
      <c r="K15" s="95">
        <v>216031.077</v>
      </c>
      <c r="L15" s="95">
        <v>216686.826</v>
      </c>
      <c r="M15" s="95">
        <v>217803.2085</v>
      </c>
      <c r="N15" s="95">
        <v>220086.261</v>
      </c>
      <c r="O15" s="95">
        <v>223045.1775</v>
      </c>
      <c r="P15" s="95">
        <v>225346.3335</v>
      </c>
      <c r="Q15" s="95">
        <v>228677.3775</v>
      </c>
      <c r="R15" s="95">
        <v>229860.1395</v>
      </c>
      <c r="S15" s="95">
        <v>232931.9551</v>
      </c>
      <c r="T15" s="95">
        <v>234195.5759</v>
      </c>
      <c r="U15" s="95">
        <v>232761.6247</v>
      </c>
      <c r="V15" s="95">
        <v>233878.2058</v>
      </c>
    </row>
    <row r="16" spans="1:22" ht="12.75">
      <c r="A16" s="94">
        <v>13</v>
      </c>
      <c r="B16" s="77" t="s">
        <v>55</v>
      </c>
      <c r="C16" s="95">
        <v>181867.608</v>
      </c>
      <c r="D16" s="95">
        <v>182543.062</v>
      </c>
      <c r="E16" s="95">
        <v>185454.204</v>
      </c>
      <c r="F16" s="95">
        <v>185704.532</v>
      </c>
      <c r="G16" s="95">
        <v>188074.016</v>
      </c>
      <c r="H16" s="95">
        <v>189403.344</v>
      </c>
      <c r="I16" s="95">
        <v>191114.638</v>
      </c>
      <c r="J16" s="95">
        <v>192273.484</v>
      </c>
      <c r="K16" s="95">
        <v>195279.578</v>
      </c>
      <c r="L16" s="95">
        <v>193563.968</v>
      </c>
      <c r="M16" s="95">
        <v>193451.752</v>
      </c>
      <c r="N16" s="95">
        <v>194517.804</v>
      </c>
      <c r="O16" s="95">
        <v>196168.674</v>
      </c>
      <c r="P16" s="95">
        <v>196384.474</v>
      </c>
      <c r="Q16" s="95">
        <v>195898.924</v>
      </c>
      <c r="R16" s="95">
        <v>194981.774</v>
      </c>
      <c r="S16" s="95">
        <v>194018.9539</v>
      </c>
      <c r="T16" s="95">
        <v>192459.6719</v>
      </c>
      <c r="U16" s="95">
        <v>190700.4142</v>
      </c>
      <c r="V16" s="95">
        <v>192361.5273</v>
      </c>
    </row>
    <row r="17" spans="1:22" ht="12.75">
      <c r="A17" s="94">
        <v>14</v>
      </c>
      <c r="B17" s="77" t="s">
        <v>56</v>
      </c>
      <c r="C17" s="95">
        <v>12678.25</v>
      </c>
      <c r="D17" s="95">
        <v>13463.762</v>
      </c>
      <c r="E17" s="95">
        <v>14363.648</v>
      </c>
      <c r="F17" s="95">
        <v>15179.372</v>
      </c>
      <c r="G17" s="95">
        <v>15869.932</v>
      </c>
      <c r="H17" s="95">
        <v>17058.99</v>
      </c>
      <c r="I17" s="95">
        <v>18058.144</v>
      </c>
      <c r="J17" s="95">
        <v>18744.388</v>
      </c>
      <c r="K17" s="95">
        <v>19976.606</v>
      </c>
      <c r="L17" s="95">
        <v>21668.478</v>
      </c>
      <c r="M17" s="95">
        <v>22659</v>
      </c>
      <c r="N17" s="95">
        <v>24160.968</v>
      </c>
      <c r="O17" s="95">
        <v>25425.556</v>
      </c>
      <c r="P17" s="95">
        <v>26944.788</v>
      </c>
      <c r="Q17" s="95">
        <v>28567.604</v>
      </c>
      <c r="R17" s="95">
        <v>29687.606</v>
      </c>
      <c r="S17" s="95">
        <v>31448.534</v>
      </c>
      <c r="T17" s="95">
        <v>32539.9382</v>
      </c>
      <c r="U17" s="95">
        <v>32748.7204</v>
      </c>
      <c r="V17" s="95">
        <v>34042.1399</v>
      </c>
    </row>
    <row r="18" spans="1:22" ht="12.75">
      <c r="A18" s="94">
        <v>15</v>
      </c>
      <c r="B18" s="77" t="s">
        <v>57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605.727</v>
      </c>
      <c r="L18" s="95">
        <v>2249.304</v>
      </c>
      <c r="M18" s="95">
        <v>4267.4505</v>
      </c>
      <c r="N18" s="95">
        <v>7417.797</v>
      </c>
      <c r="O18" s="95">
        <v>11787.1455</v>
      </c>
      <c r="P18" s="95">
        <v>16289.8208</v>
      </c>
      <c r="Q18" s="95">
        <v>21279.3421</v>
      </c>
      <c r="R18" s="95">
        <v>27290.2769</v>
      </c>
      <c r="S18" s="95">
        <v>34108.3935</v>
      </c>
      <c r="T18" s="95">
        <v>41290.5806</v>
      </c>
      <c r="U18" s="95">
        <v>48396.5974</v>
      </c>
      <c r="V18" s="95">
        <v>56745.906</v>
      </c>
    </row>
    <row r="19" spans="1:22" ht="12.75">
      <c r="A19" s="94">
        <v>16</v>
      </c>
      <c r="B19" s="77" t="s">
        <v>58</v>
      </c>
      <c r="C19" s="95">
        <v>77100.1875</v>
      </c>
      <c r="D19" s="95">
        <v>79956.36</v>
      </c>
      <c r="E19" s="95">
        <v>83755.44</v>
      </c>
      <c r="F19" s="95">
        <v>87387.075</v>
      </c>
      <c r="G19" s="95">
        <v>91411.245</v>
      </c>
      <c r="H19" s="95">
        <v>95521.8825</v>
      </c>
      <c r="I19" s="95">
        <v>99581.7375</v>
      </c>
      <c r="J19" s="95">
        <v>102536.73</v>
      </c>
      <c r="K19" s="95">
        <v>106834.0275</v>
      </c>
      <c r="L19" s="95">
        <v>109686.0825</v>
      </c>
      <c r="M19" s="95">
        <v>112343.2425</v>
      </c>
      <c r="N19" s="95">
        <v>115438.23</v>
      </c>
      <c r="O19" s="95">
        <v>119013.5925</v>
      </c>
      <c r="P19" s="95">
        <v>122561.505</v>
      </c>
      <c r="Q19" s="95">
        <v>125896.68</v>
      </c>
      <c r="R19" s="95">
        <v>128411.1</v>
      </c>
      <c r="S19" s="95">
        <v>130583.7675</v>
      </c>
      <c r="T19" s="95">
        <v>132260.9625</v>
      </c>
      <c r="U19" s="95">
        <v>132801.7275</v>
      </c>
      <c r="V19" s="95">
        <v>135446.535</v>
      </c>
    </row>
    <row r="20" spans="1:22" ht="12.75">
      <c r="A20" s="94">
        <v>17</v>
      </c>
      <c r="B20" s="77" t="s">
        <v>59</v>
      </c>
      <c r="C20" s="95">
        <v>13045.389</v>
      </c>
      <c r="D20" s="95">
        <v>13702.53</v>
      </c>
      <c r="E20" s="95">
        <v>14813.658</v>
      </c>
      <c r="F20" s="95">
        <v>15866.742</v>
      </c>
      <c r="G20" s="95">
        <v>16509.372</v>
      </c>
      <c r="H20" s="95">
        <v>17247.36</v>
      </c>
      <c r="I20" s="95">
        <v>17794.632</v>
      </c>
      <c r="J20" s="95">
        <v>18368.853</v>
      </c>
      <c r="K20" s="95">
        <v>18961.731</v>
      </c>
      <c r="L20" s="95">
        <v>19880.07</v>
      </c>
      <c r="M20" s="95">
        <v>20798.409</v>
      </c>
      <c r="N20" s="95">
        <v>21855.639</v>
      </c>
      <c r="O20" s="95">
        <v>22898.358</v>
      </c>
      <c r="P20" s="95">
        <v>23698.536</v>
      </c>
      <c r="Q20" s="95">
        <v>24017.778</v>
      </c>
      <c r="R20" s="95">
        <v>24691.503</v>
      </c>
      <c r="S20" s="95">
        <v>25383.885</v>
      </c>
      <c r="T20" s="95">
        <v>26113.581</v>
      </c>
      <c r="U20" s="95">
        <v>26652.561</v>
      </c>
      <c r="V20" s="95">
        <v>27647.601</v>
      </c>
    </row>
    <row r="21" spans="1:22" ht="12.75">
      <c r="A21" s="94">
        <v>18</v>
      </c>
      <c r="B21" s="77" t="s">
        <v>60</v>
      </c>
      <c r="C21" s="95">
        <v>29283.1565</v>
      </c>
      <c r="D21" s="95">
        <v>40127.6005</v>
      </c>
      <c r="E21" s="95">
        <v>50581.843</v>
      </c>
      <c r="F21" s="95">
        <v>61588.683</v>
      </c>
      <c r="G21" s="95">
        <v>72482.748</v>
      </c>
      <c r="H21" s="95">
        <v>84578.9945</v>
      </c>
      <c r="I21" s="95">
        <v>97642.8505</v>
      </c>
      <c r="J21" s="95">
        <v>110975.111</v>
      </c>
      <c r="K21" s="95">
        <v>123161.5775</v>
      </c>
      <c r="L21" s="95">
        <v>133153.4425</v>
      </c>
      <c r="M21" s="95">
        <v>140855.975</v>
      </c>
      <c r="N21" s="95">
        <v>148100.641</v>
      </c>
      <c r="O21" s="95">
        <v>153816.078</v>
      </c>
      <c r="P21" s="95">
        <v>157515.098</v>
      </c>
      <c r="Q21" s="95">
        <v>161965.1995</v>
      </c>
      <c r="R21" s="95">
        <v>164180.1005</v>
      </c>
      <c r="S21" s="95">
        <v>169115.1345</v>
      </c>
      <c r="T21" s="95">
        <v>173019.405</v>
      </c>
      <c r="U21" s="95">
        <v>174641.1095</v>
      </c>
      <c r="V21" s="95">
        <v>177825.8755</v>
      </c>
    </row>
    <row r="22" spans="1:22" ht="12.75">
      <c r="A22" s="94">
        <v>19</v>
      </c>
      <c r="B22" s="77" t="s">
        <v>61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179.183</v>
      </c>
      <c r="K22" s="95">
        <v>741.028</v>
      </c>
      <c r="L22" s="95">
        <v>1986.198</v>
      </c>
      <c r="M22" s="95">
        <v>3753.732</v>
      </c>
      <c r="N22" s="95">
        <v>6401.996</v>
      </c>
      <c r="O22" s="95">
        <v>9335.738</v>
      </c>
      <c r="P22" s="95">
        <v>12855.621</v>
      </c>
      <c r="Q22" s="95">
        <v>16205.432</v>
      </c>
      <c r="R22" s="95">
        <v>20414.714</v>
      </c>
      <c r="S22" s="95">
        <v>25519.911</v>
      </c>
      <c r="T22" s="95">
        <v>30597.775</v>
      </c>
      <c r="U22" s="95">
        <v>36325.557</v>
      </c>
      <c r="V22" s="95">
        <v>42688.072</v>
      </c>
    </row>
    <row r="23" spans="1:22" ht="12.75">
      <c r="A23" s="94">
        <v>20</v>
      </c>
      <c r="B23" s="77" t="s">
        <v>62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117.216</v>
      </c>
      <c r="K23" s="95">
        <v>610.944</v>
      </c>
      <c r="L23" s="95">
        <v>1598.4</v>
      </c>
      <c r="M23" s="95">
        <v>2845.152</v>
      </c>
      <c r="N23" s="95">
        <v>5104.224</v>
      </c>
      <c r="O23" s="95">
        <v>7594.176</v>
      </c>
      <c r="P23" s="95">
        <v>10435.776</v>
      </c>
      <c r="Q23" s="95">
        <v>13962.912</v>
      </c>
      <c r="R23" s="95">
        <v>17113.536</v>
      </c>
      <c r="S23" s="95">
        <v>21887.424</v>
      </c>
      <c r="T23" s="95">
        <v>25901.184</v>
      </c>
      <c r="U23" s="95">
        <v>29687.616</v>
      </c>
      <c r="V23" s="95">
        <v>34319.424</v>
      </c>
    </row>
    <row r="24" spans="1:22" ht="12.75">
      <c r="A24" s="94">
        <v>21</v>
      </c>
      <c r="B24" s="77" t="s">
        <v>63</v>
      </c>
      <c r="C24" s="95">
        <v>2490.384</v>
      </c>
      <c r="D24" s="95">
        <v>2514.944</v>
      </c>
      <c r="E24" s="95">
        <v>2487.314</v>
      </c>
      <c r="F24" s="95">
        <v>2532.75</v>
      </c>
      <c r="G24" s="95">
        <v>2597.22</v>
      </c>
      <c r="H24" s="95">
        <v>2658.006</v>
      </c>
      <c r="I24" s="95">
        <v>2702.828</v>
      </c>
      <c r="J24" s="95">
        <v>2710.196</v>
      </c>
      <c r="K24" s="95">
        <v>2702.214</v>
      </c>
      <c r="L24" s="95">
        <v>2686.25</v>
      </c>
      <c r="M24" s="95">
        <v>2694.232</v>
      </c>
      <c r="N24" s="95">
        <v>2710.196</v>
      </c>
      <c r="O24" s="95">
        <v>2681.338</v>
      </c>
      <c r="P24" s="95">
        <v>2664.76</v>
      </c>
      <c r="Q24" s="95">
        <v>2535.206</v>
      </c>
      <c r="R24" s="95">
        <v>2368.198</v>
      </c>
      <c r="S24" s="95">
        <v>2275.484</v>
      </c>
      <c r="T24" s="95">
        <v>2210.4</v>
      </c>
      <c r="U24" s="95">
        <v>2072.864</v>
      </c>
      <c r="V24" s="95">
        <v>2056.286</v>
      </c>
    </row>
    <row r="25" spans="1:22" ht="25.5">
      <c r="A25" s="94">
        <v>22</v>
      </c>
      <c r="B25" s="77" t="s">
        <v>64</v>
      </c>
      <c r="C25" s="95">
        <v>8584.3515</v>
      </c>
      <c r="D25" s="95">
        <v>8739.4305</v>
      </c>
      <c r="E25" s="95">
        <v>8777.03</v>
      </c>
      <c r="F25" s="95">
        <v>8784.2805</v>
      </c>
      <c r="G25" s="95">
        <v>8950.8235</v>
      </c>
      <c r="H25" s="95">
        <v>9027.654</v>
      </c>
      <c r="I25" s="95">
        <v>8909.706</v>
      </c>
      <c r="J25" s="95">
        <v>8981.984</v>
      </c>
      <c r="K25" s="95">
        <v>9066.5035</v>
      </c>
      <c r="L25" s="95">
        <v>9011.3895</v>
      </c>
      <c r="M25" s="95">
        <v>8843.5295</v>
      </c>
      <c r="N25" s="95">
        <v>8733.062</v>
      </c>
      <c r="O25" s="95">
        <v>8585.7735</v>
      </c>
      <c r="P25" s="95">
        <v>8373.9115</v>
      </c>
      <c r="Q25" s="95">
        <v>8289.5405</v>
      </c>
      <c r="R25" s="95">
        <v>8228.2935</v>
      </c>
      <c r="S25" s="95">
        <v>8061.953</v>
      </c>
      <c r="T25" s="95">
        <v>7845.321</v>
      </c>
      <c r="U25" s="95">
        <v>7548.5805</v>
      </c>
      <c r="V25" s="95">
        <v>7256.8095</v>
      </c>
    </row>
    <row r="26" spans="1:22" ht="25.5">
      <c r="A26" s="94">
        <v>23</v>
      </c>
      <c r="B26" s="77" t="s">
        <v>65</v>
      </c>
      <c r="C26" s="95">
        <v>704.674</v>
      </c>
      <c r="D26" s="95">
        <v>709.6995</v>
      </c>
      <c r="E26" s="95">
        <v>730.5605</v>
      </c>
      <c r="F26" s="95">
        <v>729.169</v>
      </c>
      <c r="G26" s="95">
        <v>741.152</v>
      </c>
      <c r="H26" s="95">
        <v>751.847</v>
      </c>
      <c r="I26" s="95">
        <v>747.2585</v>
      </c>
      <c r="J26" s="95">
        <v>749.6045</v>
      </c>
      <c r="K26" s="95">
        <v>751.4215</v>
      </c>
      <c r="L26" s="95">
        <v>750.122</v>
      </c>
      <c r="M26" s="95">
        <v>735.54</v>
      </c>
      <c r="N26" s="95">
        <v>723.051</v>
      </c>
      <c r="O26" s="95">
        <v>708.446</v>
      </c>
      <c r="P26" s="95">
        <v>703.386</v>
      </c>
      <c r="Q26" s="95">
        <v>698.073</v>
      </c>
      <c r="R26" s="95">
        <v>697.9235</v>
      </c>
      <c r="S26" s="95">
        <v>697.3025</v>
      </c>
      <c r="T26" s="95">
        <v>675.8665</v>
      </c>
      <c r="U26" s="95">
        <v>669.507</v>
      </c>
      <c r="V26" s="95">
        <v>664.516</v>
      </c>
    </row>
    <row r="27" spans="1:22" ht="25.5">
      <c r="A27" s="94">
        <v>24</v>
      </c>
      <c r="B27" s="77" t="s">
        <v>66</v>
      </c>
      <c r="C27" s="95">
        <v>894.887</v>
      </c>
      <c r="D27" s="95">
        <v>901.747</v>
      </c>
      <c r="E27" s="95">
        <v>896.945</v>
      </c>
      <c r="F27" s="95">
        <v>890.085</v>
      </c>
      <c r="G27" s="95">
        <v>910.665</v>
      </c>
      <c r="H27" s="95">
        <v>924.385</v>
      </c>
      <c r="I27" s="95">
        <v>924.042</v>
      </c>
      <c r="J27" s="95">
        <v>971.719</v>
      </c>
      <c r="K27" s="95">
        <v>978.579</v>
      </c>
      <c r="L27" s="95">
        <v>967.26</v>
      </c>
      <c r="M27" s="95">
        <v>933.646</v>
      </c>
      <c r="N27" s="95">
        <v>913.409</v>
      </c>
      <c r="O27" s="95">
        <v>900.032</v>
      </c>
      <c r="P27" s="95">
        <v>861.959</v>
      </c>
      <c r="Q27" s="95">
        <v>832.804</v>
      </c>
      <c r="R27" s="95">
        <v>792.33</v>
      </c>
      <c r="S27" s="95">
        <v>762.832</v>
      </c>
      <c r="T27" s="95">
        <v>717.556</v>
      </c>
      <c r="U27" s="95">
        <v>686.343</v>
      </c>
      <c r="V27" s="95">
        <v>656.845</v>
      </c>
    </row>
    <row r="28" spans="1:22" ht="25.5">
      <c r="A28" s="94">
        <v>25</v>
      </c>
      <c r="B28" s="77" t="s">
        <v>67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103.359</v>
      </c>
      <c r="M28" s="95">
        <v>613.842</v>
      </c>
      <c r="N28" s="95">
        <v>1459.65</v>
      </c>
      <c r="O28" s="95">
        <v>2703.903</v>
      </c>
      <c r="P28" s="95">
        <v>4252.71</v>
      </c>
      <c r="Q28" s="95">
        <v>6093.0525</v>
      </c>
      <c r="R28" s="95">
        <v>7627.263</v>
      </c>
      <c r="S28" s="95">
        <v>9648.2865</v>
      </c>
      <c r="T28" s="95">
        <v>11836.9725</v>
      </c>
      <c r="U28" s="95">
        <v>13708.875</v>
      </c>
      <c r="V28" s="95">
        <v>16100.7285</v>
      </c>
    </row>
    <row r="29" spans="1:22" ht="25.5">
      <c r="A29" s="94">
        <v>26</v>
      </c>
      <c r="B29" s="77" t="s">
        <v>68</v>
      </c>
      <c r="C29" s="95">
        <v>124183.298</v>
      </c>
      <c r="D29" s="95">
        <v>124500.899</v>
      </c>
      <c r="E29" s="95">
        <v>125590.937</v>
      </c>
      <c r="F29" s="95">
        <v>125745.163</v>
      </c>
      <c r="G29" s="95">
        <v>125875.863</v>
      </c>
      <c r="H29" s="95">
        <v>126038.5845</v>
      </c>
      <c r="I29" s="95">
        <v>126039.238</v>
      </c>
      <c r="J29" s="95">
        <v>125796.136</v>
      </c>
      <c r="K29" s="95">
        <v>126371.8695</v>
      </c>
      <c r="L29" s="95">
        <v>125305.3575</v>
      </c>
      <c r="M29" s="95">
        <v>124215.3195</v>
      </c>
      <c r="N29" s="95">
        <v>123276.636</v>
      </c>
      <c r="O29" s="95">
        <v>121611.681</v>
      </c>
      <c r="P29" s="95">
        <v>118577.1565</v>
      </c>
      <c r="Q29" s="95">
        <v>115165.921</v>
      </c>
      <c r="R29" s="95">
        <v>111596.255</v>
      </c>
      <c r="S29" s="95">
        <v>107493.299</v>
      </c>
      <c r="T29" s="95">
        <v>102145.235</v>
      </c>
      <c r="U29" s="95">
        <v>96653.3885</v>
      </c>
      <c r="V29" s="95">
        <v>91802.8565</v>
      </c>
    </row>
    <row r="30" spans="1:22" ht="25.5">
      <c r="A30" s="94">
        <v>27</v>
      </c>
      <c r="B30" s="77" t="s">
        <v>69</v>
      </c>
      <c r="C30" s="95">
        <v>55836.975</v>
      </c>
      <c r="D30" s="95">
        <v>55470.1305</v>
      </c>
      <c r="E30" s="95">
        <v>55392.523</v>
      </c>
      <c r="F30" s="95">
        <v>55257.912</v>
      </c>
      <c r="G30" s="95">
        <v>55290.8145</v>
      </c>
      <c r="H30" s="95">
        <v>54922.0145</v>
      </c>
      <c r="I30" s="95">
        <v>54901.8905</v>
      </c>
      <c r="J30" s="95">
        <v>54895.8455</v>
      </c>
      <c r="K30" s="95">
        <v>55021.01</v>
      </c>
      <c r="L30" s="95">
        <v>54369.4475</v>
      </c>
      <c r="M30" s="95">
        <v>53931.396</v>
      </c>
      <c r="N30" s="95">
        <v>53610.4215</v>
      </c>
      <c r="O30" s="95">
        <v>53725.449</v>
      </c>
      <c r="P30" s="95">
        <v>53006.2125</v>
      </c>
      <c r="Q30" s="95">
        <v>52844.7395</v>
      </c>
      <c r="R30" s="95">
        <v>52248.1115</v>
      </c>
      <c r="S30" s="95">
        <v>51799.35</v>
      </c>
      <c r="T30" s="95">
        <v>51332.0755</v>
      </c>
      <c r="U30" s="95">
        <v>50494.3955</v>
      </c>
      <c r="V30" s="95">
        <v>50339.454</v>
      </c>
    </row>
    <row r="31" spans="1:22" ht="25.5">
      <c r="A31" s="94">
        <v>28</v>
      </c>
      <c r="B31" s="77" t="s">
        <v>70</v>
      </c>
      <c r="C31" s="95">
        <v>9074.8975</v>
      </c>
      <c r="D31" s="95">
        <v>9028.5555</v>
      </c>
      <c r="E31" s="95">
        <v>9150.08</v>
      </c>
      <c r="F31" s="95">
        <v>9147.122</v>
      </c>
      <c r="G31" s="95">
        <v>9119.514</v>
      </c>
      <c r="H31" s="95">
        <v>9085.497</v>
      </c>
      <c r="I31" s="95">
        <v>9019.435</v>
      </c>
      <c r="J31" s="95">
        <v>8929.4625</v>
      </c>
      <c r="K31" s="95">
        <v>8924.5325</v>
      </c>
      <c r="L31" s="95">
        <v>8778.851</v>
      </c>
      <c r="M31" s="95">
        <v>8677.0465</v>
      </c>
      <c r="N31" s="95">
        <v>8603.343</v>
      </c>
      <c r="O31" s="95">
        <v>8467.0285</v>
      </c>
      <c r="P31" s="95">
        <v>8345.011</v>
      </c>
      <c r="Q31" s="95">
        <v>8128.091</v>
      </c>
      <c r="R31" s="95">
        <v>7952.583</v>
      </c>
      <c r="S31" s="95">
        <v>7944.4485</v>
      </c>
      <c r="T31" s="95">
        <v>7722.352</v>
      </c>
      <c r="U31" s="95">
        <v>7600.581</v>
      </c>
      <c r="V31" s="95">
        <v>7491.8745</v>
      </c>
    </row>
    <row r="32" spans="1:22" ht="12.75">
      <c r="A32" s="94">
        <v>29</v>
      </c>
      <c r="B32" s="77" t="s">
        <v>71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88.457</v>
      </c>
    </row>
    <row r="34" spans="1:22" s="70" customFormat="1" ht="13.5" thickBot="1">
      <c r="A34" s="93" t="s">
        <v>75</v>
      </c>
      <c r="B34" s="93" t="s">
        <v>74</v>
      </c>
      <c r="C34" s="103">
        <v>38504</v>
      </c>
      <c r="D34" s="103">
        <v>38534</v>
      </c>
      <c r="E34" s="103">
        <v>38565</v>
      </c>
      <c r="F34" s="103">
        <v>38596</v>
      </c>
      <c r="G34" s="103">
        <v>38626</v>
      </c>
      <c r="H34" s="103">
        <v>38657</v>
      </c>
      <c r="I34" s="103">
        <v>38687</v>
      </c>
      <c r="J34" s="103">
        <v>38718</v>
      </c>
      <c r="K34" s="103">
        <v>38749</v>
      </c>
      <c r="L34" s="103">
        <v>38777</v>
      </c>
      <c r="M34" s="103">
        <v>38808</v>
      </c>
      <c r="N34" s="103">
        <v>38838</v>
      </c>
      <c r="O34" s="103">
        <v>38869</v>
      </c>
      <c r="P34" s="103">
        <v>38899</v>
      </c>
      <c r="Q34" s="103">
        <v>38930</v>
      </c>
      <c r="R34" s="103">
        <v>38961</v>
      </c>
      <c r="S34" s="103">
        <v>38991</v>
      </c>
      <c r="T34" s="103">
        <v>39022</v>
      </c>
      <c r="U34" s="103">
        <v>39052</v>
      </c>
      <c r="V34" s="103">
        <v>39083</v>
      </c>
    </row>
    <row r="35" spans="1:22" ht="26.25" thickTop="1">
      <c r="A35">
        <v>1</v>
      </c>
      <c r="B35" s="91" t="s">
        <v>43</v>
      </c>
      <c r="C35" s="92">
        <f>VLOOKUP(1,$A$4:$AX$32,3,FALSE)</f>
        <v>0</v>
      </c>
      <c r="D35" s="92">
        <f>VLOOKUP(1,$A$4:$AX$32,4,FALSE)</f>
        <v>0</v>
      </c>
      <c r="E35" s="92">
        <f>VLOOKUP(1,$A$4:$AX$32,5,FALSE)</f>
        <v>0</v>
      </c>
      <c r="F35" s="92">
        <f>VLOOKUP(1,$A$4:$AX$32,6,FALSE)</f>
        <v>0</v>
      </c>
      <c r="G35" s="92">
        <f>VLOOKUP(1,$A$4:$AX$32,7,FALSE)</f>
        <v>0</v>
      </c>
      <c r="H35" s="92">
        <f>VLOOKUP(1,$A$4:$AX$32,8,FALSE)</f>
        <v>0</v>
      </c>
      <c r="I35" s="92">
        <f>VLOOKUP(1,$A$4:$AX$32,9,FALSE)</f>
        <v>8.28</v>
      </c>
      <c r="J35" s="92">
        <f>VLOOKUP(1,$A$4:$AX$32,10,FALSE)</f>
        <v>60.03</v>
      </c>
      <c r="K35" s="92">
        <f>VLOOKUP(1,$A$4:$AX$32,11,FALSE)</f>
        <v>152.766</v>
      </c>
      <c r="L35" s="92">
        <f>VLOOKUP(1,$A$4:$AX$32,12,FALSE)</f>
        <v>247.572</v>
      </c>
      <c r="M35" s="92">
        <f>VLOOKUP(1,$A$4:$AX$32,13,FALSE)</f>
        <v>377.982</v>
      </c>
      <c r="N35" s="92">
        <f>VLOOKUP(1,$A$4:$AX$32,14,FALSE)</f>
        <v>516.672</v>
      </c>
      <c r="O35" s="92">
        <f>VLOOKUP(1,$A$4:$AX$32,15,FALSE)</f>
        <v>673.992</v>
      </c>
      <c r="P35" s="92">
        <f>VLOOKUP(1,$A$4:$AX$32,16,FALSE)</f>
        <v>804.402</v>
      </c>
      <c r="Q35" s="92">
        <f>VLOOKUP(1,$A$4:$AX$32,17,FALSE)</f>
        <v>981.594</v>
      </c>
      <c r="R35" s="92">
        <f>VLOOKUP(1,$A$4:$AX$32,18,FALSE)</f>
        <v>1201.842</v>
      </c>
      <c r="S35" s="92">
        <f>VLOOKUP(1,$A$4:$AX$32,19,FALSE)</f>
        <v>1492.884</v>
      </c>
      <c r="T35" s="92">
        <f>VLOOKUP(1,$A$4:$AX$32,20,FALSE)</f>
        <v>1745.838</v>
      </c>
      <c r="U35" s="92">
        <f>VLOOKUP(1,$A$4:$AX$32,21,FALSE)</f>
        <v>1952.424</v>
      </c>
      <c r="V35" s="92">
        <f>VLOOKUP(1,$A$4:$AX$32,22,FALSE)</f>
        <v>2142.864</v>
      </c>
    </row>
    <row r="36" spans="1:22" ht="25.5">
      <c r="A36">
        <v>2</v>
      </c>
      <c r="B36" s="77" t="s">
        <v>44</v>
      </c>
      <c r="C36" s="92">
        <f>VLOOKUP(2,$A$4:$AX$32,3,FALSE)</f>
        <v>312238.917</v>
      </c>
      <c r="D36" s="92">
        <f>VLOOKUP(2,$A$4:$AX$32,4,FALSE)</f>
        <v>307578.327</v>
      </c>
      <c r="E36" s="92">
        <f>VLOOKUP(2,$A$4:$AX$32,5,FALSE)</f>
        <v>305902.652</v>
      </c>
      <c r="F36" s="92">
        <f>VLOOKUP(2,$A$4:$AX$32,6,FALSE)</f>
        <v>302921.1045</v>
      </c>
      <c r="G36" s="92">
        <f>VLOOKUP(2,$A$4:$AX$32,7,FALSE)</f>
        <v>299900.825</v>
      </c>
      <c r="H36" s="92">
        <f>VLOOKUP(2,$A$4:$AX$32,8,FALSE)</f>
        <v>297260.841</v>
      </c>
      <c r="I36" s="92">
        <f>VLOOKUP(2,$A$4:$AX$32,9,FALSE)</f>
        <v>294174.707</v>
      </c>
      <c r="J36" s="92">
        <f>VLOOKUP(2,$A$4:$AX$32,10,FALSE)</f>
        <v>290054.2925</v>
      </c>
      <c r="K36" s="92">
        <f>VLOOKUP(2,$A$4:$AX$32,11,FALSE)</f>
        <v>288823.697</v>
      </c>
      <c r="L36" s="92">
        <f>VLOOKUP(2,$A$4:$AX$32,12,FALSE)</f>
        <v>281253.706</v>
      </c>
      <c r="M36" s="92">
        <f>VLOOKUP(2,$A$4:$AX$32,13,FALSE)</f>
        <v>275154.866</v>
      </c>
      <c r="N36" s="92">
        <f>VLOOKUP(2,$A$4:$AX$32,14,FALSE)</f>
        <v>270081.8855</v>
      </c>
      <c r="O36" s="92">
        <f>VLOOKUP(2,$A$4:$AX$32,15,FALSE)</f>
        <v>267395.2855</v>
      </c>
      <c r="P36" s="92">
        <f>VLOOKUP(2,$A$4:$AX$32,16,FALSE)</f>
        <v>265506.434</v>
      </c>
      <c r="Q36" s="92">
        <f>VLOOKUP(2,$A$4:$AX$32,17,FALSE)</f>
        <v>262342.1995</v>
      </c>
      <c r="R36" s="92">
        <f>VLOOKUP(2,$A$4:$AX$32,18,FALSE)</f>
        <v>258645.6335</v>
      </c>
      <c r="S36" s="92">
        <f>VLOOKUP(2,$A$4:$AX$32,19,FALSE)</f>
        <v>258227.334</v>
      </c>
      <c r="T36" s="92">
        <f>VLOOKUP(2,$A$4:$AX$32,20,FALSE)</f>
        <v>255123.144</v>
      </c>
      <c r="U36" s="92">
        <f>VLOOKUP(2,$A$4:$AX$32,21,FALSE)</f>
        <v>250525.493</v>
      </c>
      <c r="V36" s="92">
        <f>VLOOKUP(2,$A$4:$AX$32,22,FALSE)</f>
        <v>250591.3655</v>
      </c>
    </row>
    <row r="37" spans="1:22" ht="25.5">
      <c r="A37">
        <v>3</v>
      </c>
      <c r="B37" s="77" t="s">
        <v>45</v>
      </c>
      <c r="C37" s="92">
        <f>VLOOKUP(3,$A$4:$AX$32,3,FALSE)</f>
        <v>108201.636</v>
      </c>
      <c r="D37" s="92">
        <f>VLOOKUP(3,$A$4:$AX$32,4,FALSE)</f>
        <v>108216.22</v>
      </c>
      <c r="E37" s="92">
        <f>VLOOKUP(3,$A$4:$AX$32,5,FALSE)</f>
        <v>109288.3405</v>
      </c>
      <c r="F37" s="92">
        <f>VLOOKUP(3,$A$4:$AX$32,6,FALSE)</f>
        <v>108766.437</v>
      </c>
      <c r="G37" s="92">
        <f>VLOOKUP(3,$A$4:$AX$32,7,FALSE)</f>
        <v>108852.775</v>
      </c>
      <c r="H37" s="92">
        <f>VLOOKUP(3,$A$4:$AX$32,8,FALSE)</f>
        <v>108427.3375</v>
      </c>
      <c r="I37" s="92">
        <f>VLOOKUP(3,$A$4:$AX$32,9,FALSE)</f>
        <v>107916.9125</v>
      </c>
      <c r="J37" s="92">
        <f>VLOOKUP(3,$A$4:$AX$32,10,FALSE)</f>
        <v>107437.5875</v>
      </c>
      <c r="K37" s="92">
        <f>VLOOKUP(3,$A$4:$AX$32,11,FALSE)</f>
        <v>106710.6125</v>
      </c>
      <c r="L37" s="92">
        <f>VLOOKUP(3,$A$4:$AX$32,12,FALSE)</f>
        <v>104568.575</v>
      </c>
      <c r="M37" s="92">
        <f>VLOOKUP(3,$A$4:$AX$32,13,FALSE)</f>
        <v>101970.7875</v>
      </c>
      <c r="N37" s="92">
        <f>VLOOKUP(3,$A$4:$AX$32,14,FALSE)</f>
        <v>101239.0125</v>
      </c>
      <c r="O37" s="92">
        <f>VLOOKUP(3,$A$4:$AX$32,15,FALSE)</f>
        <v>100854.8125</v>
      </c>
      <c r="P37" s="92">
        <f>VLOOKUP(3,$A$4:$AX$32,16,FALSE)</f>
        <v>100320.4625</v>
      </c>
      <c r="Q37" s="92">
        <f>VLOOKUP(3,$A$4:$AX$32,17,FALSE)</f>
        <v>99674.225</v>
      </c>
      <c r="R37" s="92">
        <f>VLOOKUP(3,$A$4:$AX$32,18,FALSE)</f>
        <v>99049.85</v>
      </c>
      <c r="S37" s="92">
        <f>VLOOKUP(3,$A$4:$AX$32,19,FALSE)</f>
        <v>99153.2125</v>
      </c>
      <c r="T37" s="92">
        <f>VLOOKUP(3,$A$4:$AX$32,20,FALSE)</f>
        <v>98579.9625</v>
      </c>
      <c r="U37" s="92">
        <f>VLOOKUP(3,$A$4:$AX$32,21,FALSE)</f>
        <v>97524.725</v>
      </c>
      <c r="V37" s="92">
        <f>VLOOKUP(3,$A$4:$AX$32,22,FALSE)</f>
        <v>97294.725</v>
      </c>
    </row>
    <row r="38" spans="1:22" ht="25.5">
      <c r="A38">
        <v>4</v>
      </c>
      <c r="B38" s="77" t="s">
        <v>46</v>
      </c>
      <c r="C38" s="92">
        <f>VLOOKUP(4,$A$4:$AX$32,3,FALSE)</f>
        <v>0</v>
      </c>
      <c r="D38" s="92">
        <f>VLOOKUP(4,$A$4:$AX$32,4,FALSE)</f>
        <v>0</v>
      </c>
      <c r="E38" s="92">
        <f>VLOOKUP(4,$A$4:$AX$32,5,FALSE)</f>
        <v>0</v>
      </c>
      <c r="F38" s="92">
        <f>VLOOKUP(4,$A$4:$AX$32,6,FALSE)</f>
        <v>0</v>
      </c>
      <c r="G38" s="92">
        <f>VLOOKUP(4,$A$4:$AX$32,7,FALSE)</f>
        <v>0</v>
      </c>
      <c r="H38" s="92">
        <f>VLOOKUP(4,$A$4:$AX$32,8,FALSE)</f>
        <v>0</v>
      </c>
      <c r="I38" s="92">
        <f>VLOOKUP(4,$A$4:$AX$32,9,FALSE)</f>
        <v>0</v>
      </c>
      <c r="J38" s="92">
        <f>VLOOKUP(4,$A$4:$AX$32,10,FALSE)</f>
        <v>0</v>
      </c>
      <c r="K38" s="92">
        <f>VLOOKUP(4,$A$4:$AX$32,11,FALSE)</f>
        <v>0</v>
      </c>
      <c r="L38" s="92">
        <f>VLOOKUP(4,$A$4:$AX$32,12,FALSE)</f>
        <v>0</v>
      </c>
      <c r="M38" s="92">
        <f>VLOOKUP(4,$A$4:$AX$32,13,FALSE)</f>
        <v>0</v>
      </c>
      <c r="N38" s="92">
        <f>VLOOKUP(4,$A$4:$AX$32,14,FALSE)</f>
        <v>0</v>
      </c>
      <c r="O38" s="92">
        <f>VLOOKUP(4,$A$4:$AX$32,15,FALSE)</f>
        <v>0</v>
      </c>
      <c r="P38" s="92">
        <f>VLOOKUP(4,$A$4:$AX$32,16,FALSE)</f>
        <v>0</v>
      </c>
      <c r="Q38" s="92">
        <f>VLOOKUP(4,$A$4:$AX$32,17,FALSE)</f>
        <v>0</v>
      </c>
      <c r="R38" s="92">
        <f>VLOOKUP(4,$A$4:$AX$32,18,FALSE)</f>
        <v>7.189</v>
      </c>
      <c r="S38" s="92">
        <f>VLOOKUP(4,$A$4:$AX$32,19,FALSE)</f>
        <v>52.6345</v>
      </c>
      <c r="T38" s="92">
        <f>VLOOKUP(4,$A$4:$AX$32,20,FALSE)</f>
        <v>111.213</v>
      </c>
      <c r="U38" s="92">
        <f>VLOOKUP(4,$A$4:$AX$32,21,FALSE)</f>
        <v>187.501</v>
      </c>
      <c r="V38" s="92">
        <f>VLOOKUP(4,$A$4:$AX$32,22,FALSE)</f>
        <v>321.6755</v>
      </c>
    </row>
    <row r="39" spans="1:22" ht="25.5">
      <c r="A39">
        <v>5</v>
      </c>
      <c r="B39" s="77" t="s">
        <v>47</v>
      </c>
      <c r="C39" s="92">
        <f>VLOOKUP(5,$A$4:$AX$32,3,FALSE)</f>
        <v>395427.711</v>
      </c>
      <c r="D39" s="92">
        <f>VLOOKUP(5,$A$4:$AX$32,4,FALSE)</f>
        <v>393730.152</v>
      </c>
      <c r="E39" s="92">
        <f>VLOOKUP(5,$A$4:$AX$32,5,FALSE)</f>
        <v>394800.024</v>
      </c>
      <c r="F39" s="92">
        <f>VLOOKUP(5,$A$4:$AX$32,6,FALSE)</f>
        <v>394624.2285</v>
      </c>
      <c r="G39" s="92">
        <f>VLOOKUP(5,$A$4:$AX$32,7,FALSE)</f>
        <v>394067.7225</v>
      </c>
      <c r="H39" s="92">
        <f>VLOOKUP(5,$A$4:$AX$32,8,FALSE)</f>
        <v>392126.4225</v>
      </c>
      <c r="I39" s="92">
        <f>VLOOKUP(5,$A$4:$AX$32,9,FALSE)</f>
        <v>391658.3535</v>
      </c>
      <c r="J39" s="92">
        <f>VLOOKUP(5,$A$4:$AX$32,10,FALSE)</f>
        <v>390695.253</v>
      </c>
      <c r="K39" s="92">
        <f>VLOOKUP(5,$A$4:$AX$32,11,FALSE)</f>
        <v>392504.976</v>
      </c>
      <c r="L39" s="92">
        <f>VLOOKUP(5,$A$4:$AX$32,12,FALSE)</f>
        <v>388116.5595</v>
      </c>
      <c r="M39" s="92">
        <f>VLOOKUP(5,$A$4:$AX$32,13,FALSE)</f>
        <v>384734.3835</v>
      </c>
      <c r="N39" s="92">
        <f>VLOOKUP(5,$A$4:$AX$32,14,FALSE)</f>
        <v>383218.0125</v>
      </c>
      <c r="O39" s="92">
        <f>VLOOKUP(5,$A$4:$AX$32,15,FALSE)</f>
        <v>380557.353</v>
      </c>
      <c r="P39" s="92">
        <f>VLOOKUP(5,$A$4:$AX$32,16,FALSE)</f>
        <v>375394.1</v>
      </c>
      <c r="Q39" s="92">
        <f>VLOOKUP(5,$A$4:$AX$32,17,FALSE)</f>
        <v>371082.9465</v>
      </c>
      <c r="R39" s="92">
        <f>VLOOKUP(5,$A$4:$AX$32,18,FALSE)</f>
        <v>360653.134</v>
      </c>
      <c r="S39" s="92">
        <f>VLOOKUP(5,$A$4:$AX$32,19,FALSE)</f>
        <v>354323.0035</v>
      </c>
      <c r="T39" s="92">
        <f>VLOOKUP(5,$A$4:$AX$32,20,FALSE)</f>
        <v>345410.3756</v>
      </c>
      <c r="U39" s="92">
        <f>VLOOKUP(5,$A$4:$AX$32,21,FALSE)</f>
        <v>332899.2859</v>
      </c>
      <c r="V39" s="92">
        <f>VLOOKUP(5,$A$4:$AX$32,22,FALSE)</f>
        <v>326010.9872</v>
      </c>
    </row>
    <row r="40" spans="1:22" ht="25.5">
      <c r="A40">
        <v>6</v>
      </c>
      <c r="B40" s="77" t="s">
        <v>48</v>
      </c>
      <c r="C40" s="92">
        <f>VLOOKUP(6,$A$4:$AX$32,3,FALSE)</f>
        <v>297765.083</v>
      </c>
      <c r="D40" s="92">
        <f>VLOOKUP(6,$A$4:$AX$32,4,FALSE)</f>
        <v>297882.156</v>
      </c>
      <c r="E40" s="92">
        <f>VLOOKUP(6,$A$4:$AX$32,5,FALSE)</f>
        <v>302185.598</v>
      </c>
      <c r="F40" s="92">
        <f>VLOOKUP(6,$A$4:$AX$32,6,FALSE)</f>
        <v>305031.683</v>
      </c>
      <c r="G40" s="92">
        <f>VLOOKUP(6,$A$4:$AX$32,7,FALSE)</f>
        <v>307183.404</v>
      </c>
      <c r="H40" s="92">
        <f>VLOOKUP(6,$A$4:$AX$32,8,FALSE)</f>
        <v>307568.9375</v>
      </c>
      <c r="I40" s="92">
        <f>VLOOKUP(6,$A$4:$AX$32,9,FALSE)</f>
        <v>309823.602</v>
      </c>
      <c r="J40" s="92">
        <f>VLOOKUP(6,$A$4:$AX$32,10,FALSE)</f>
        <v>312362.875</v>
      </c>
      <c r="K40" s="92">
        <f>VLOOKUP(6,$A$4:$AX$32,11,FALSE)</f>
        <v>314046.304</v>
      </c>
      <c r="L40" s="92">
        <f>VLOOKUP(6,$A$4:$AX$32,12,FALSE)</f>
        <v>312019.73</v>
      </c>
      <c r="M40" s="92">
        <f>VLOOKUP(6,$A$4:$AX$32,13,FALSE)</f>
        <v>310725.8715</v>
      </c>
      <c r="N40" s="92">
        <f>VLOOKUP(6,$A$4:$AX$32,14,FALSE)</f>
        <v>309240.2555</v>
      </c>
      <c r="O40" s="92">
        <f>VLOOKUP(6,$A$4:$AX$32,15,FALSE)</f>
        <v>308887.018</v>
      </c>
      <c r="P40" s="92">
        <f>VLOOKUP(6,$A$4:$AX$32,16,FALSE)</f>
        <v>307692.3565</v>
      </c>
      <c r="Q40" s="92">
        <f>VLOOKUP(6,$A$4:$AX$32,17,FALSE)</f>
        <v>304449.841</v>
      </c>
      <c r="R40" s="92">
        <f>VLOOKUP(6,$A$4:$AX$32,18,FALSE)</f>
        <v>296615.873</v>
      </c>
      <c r="S40" s="92">
        <f>VLOOKUP(6,$A$4:$AX$32,19,FALSE)</f>
        <v>290836.4782</v>
      </c>
      <c r="T40" s="92">
        <f>VLOOKUP(6,$A$4:$AX$32,20,FALSE)</f>
        <v>284411.5641</v>
      </c>
      <c r="U40" s="92">
        <f>VLOOKUP(6,$A$4:$AX$32,21,FALSE)</f>
        <v>273572.5608</v>
      </c>
      <c r="V40" s="92">
        <f>VLOOKUP(6,$A$4:$AX$32,22,FALSE)</f>
        <v>267836.5793</v>
      </c>
    </row>
    <row r="41" spans="1:22" ht="12.75">
      <c r="A41">
        <v>7</v>
      </c>
      <c r="B41" s="77" t="s">
        <v>49</v>
      </c>
      <c r="C41" s="92">
        <f>VLOOKUP(7,$A$4:$AX$32,3,FALSE)</f>
        <v>0</v>
      </c>
      <c r="D41" s="92">
        <f>VLOOKUP(7,$A$4:$AX$32,4,FALSE)</f>
        <v>0</v>
      </c>
      <c r="E41" s="92">
        <f>VLOOKUP(7,$A$4:$AX$32,5,FALSE)</f>
        <v>0</v>
      </c>
      <c r="F41" s="92">
        <f>VLOOKUP(7,$A$4:$AX$32,6,FALSE)</f>
        <v>0</v>
      </c>
      <c r="G41" s="92">
        <f>VLOOKUP(7,$A$4:$AX$32,7,FALSE)</f>
        <v>0</v>
      </c>
      <c r="H41" s="92">
        <f>VLOOKUP(7,$A$4:$AX$32,8,FALSE)</f>
        <v>0</v>
      </c>
      <c r="I41" s="92">
        <f>VLOOKUP(7,$A$4:$AX$32,9,FALSE)</f>
        <v>0</v>
      </c>
      <c r="J41" s="92">
        <f>VLOOKUP(7,$A$4:$AX$32,10,FALSE)</f>
        <v>0</v>
      </c>
      <c r="K41" s="92">
        <f>VLOOKUP(7,$A$4:$AX$32,11,FALSE)</f>
        <v>0</v>
      </c>
      <c r="L41" s="92">
        <f>VLOOKUP(7,$A$4:$AX$32,12,FALSE)</f>
        <v>0</v>
      </c>
      <c r="M41" s="92">
        <f>VLOOKUP(7,$A$4:$AX$32,13,FALSE)</f>
        <v>0</v>
      </c>
      <c r="N41" s="92">
        <f>VLOOKUP(7,$A$4:$AX$32,14,FALSE)</f>
        <v>0</v>
      </c>
      <c r="O41" s="92">
        <f>VLOOKUP(7,$A$4:$AX$32,15,FALSE)</f>
        <v>232.712</v>
      </c>
      <c r="P41" s="92">
        <f>VLOOKUP(7,$A$4:$AX$32,16,FALSE)</f>
        <v>881.856</v>
      </c>
      <c r="Q41" s="92">
        <f>VLOOKUP(7,$A$4:$AX$32,17,FALSE)</f>
        <v>1681.038</v>
      </c>
      <c r="R41" s="92">
        <f>VLOOKUP(7,$A$4:$AX$32,18,FALSE)</f>
        <v>2754.269</v>
      </c>
      <c r="S41" s="92">
        <f>VLOOKUP(7,$A$4:$AX$32,19,FALSE)</f>
        <v>4666.2833</v>
      </c>
      <c r="T41" s="92">
        <f>VLOOKUP(7,$A$4:$AX$32,20,FALSE)</f>
        <v>7048.3146</v>
      </c>
      <c r="U41" s="92">
        <f>VLOOKUP(7,$A$4:$AX$32,21,FALSE)</f>
        <v>9479.3379</v>
      </c>
      <c r="V41" s="92">
        <f>VLOOKUP(7,$A$4:$AX$32,22,FALSE)</f>
        <v>12731.9159</v>
      </c>
    </row>
    <row r="42" spans="1:22" ht="25.5">
      <c r="A42">
        <v>8</v>
      </c>
      <c r="B42" s="77" t="s">
        <v>50</v>
      </c>
      <c r="C42" s="92">
        <f>VLOOKUP(8,$A$4:$AX$32,3,FALSE)</f>
        <v>16158.782</v>
      </c>
      <c r="D42" s="92">
        <f>VLOOKUP(8,$A$4:$AX$32,4,FALSE)</f>
        <v>16213.923</v>
      </c>
      <c r="E42" s="92">
        <f>VLOOKUP(8,$A$4:$AX$32,5,FALSE)</f>
        <v>16553.822</v>
      </c>
      <c r="F42" s="92">
        <f>VLOOKUP(8,$A$4:$AX$32,6,FALSE)</f>
        <v>16877.261</v>
      </c>
      <c r="G42" s="92">
        <f>VLOOKUP(8,$A$4:$AX$32,7,FALSE)</f>
        <v>17074.781</v>
      </c>
      <c r="H42" s="92">
        <f>VLOOKUP(8,$A$4:$AX$32,8,FALSE)</f>
        <v>17462.414</v>
      </c>
      <c r="I42" s="92">
        <f>VLOOKUP(8,$A$4:$AX$32,9,FALSE)</f>
        <v>17575.988</v>
      </c>
      <c r="J42" s="92">
        <f>VLOOKUP(8,$A$4:$AX$32,10,FALSE)</f>
        <v>17702.73</v>
      </c>
      <c r="K42" s="92">
        <f>VLOOKUP(8,$A$4:$AX$32,11,FALSE)</f>
        <v>17923.294</v>
      </c>
      <c r="L42" s="92">
        <f>VLOOKUP(8,$A$4:$AX$32,12,FALSE)</f>
        <v>17991.603</v>
      </c>
      <c r="M42" s="92">
        <f>VLOOKUP(8,$A$4:$AX$32,13,FALSE)</f>
        <v>18282.945</v>
      </c>
      <c r="N42" s="92">
        <f>VLOOKUP(8,$A$4:$AX$32,14,FALSE)</f>
        <v>18456.598</v>
      </c>
      <c r="O42" s="92">
        <f>VLOOKUP(8,$A$4:$AX$32,15,FALSE)</f>
        <v>18645.065</v>
      </c>
      <c r="P42" s="92">
        <f>VLOOKUP(8,$A$4:$AX$32,16,FALSE)</f>
        <v>18778.391</v>
      </c>
      <c r="Q42" s="92">
        <f>VLOOKUP(8,$A$4:$AX$32,17,FALSE)</f>
        <v>18864.6847</v>
      </c>
      <c r="R42" s="92">
        <f>VLOOKUP(8,$A$4:$AX$32,18,FALSE)</f>
        <v>18713.0384</v>
      </c>
      <c r="S42" s="92">
        <f>VLOOKUP(8,$A$4:$AX$32,19,FALSE)</f>
        <v>18777.7661</v>
      </c>
      <c r="T42" s="92">
        <f>VLOOKUP(8,$A$4:$AX$32,20,FALSE)</f>
        <v>18737.8408</v>
      </c>
      <c r="U42" s="92">
        <f>VLOOKUP(8,$A$4:$AX$32,21,FALSE)</f>
        <v>18618.3512</v>
      </c>
      <c r="V42" s="92">
        <f>VLOOKUP(8,$A$4:$AX$32,22,FALSE)</f>
        <v>18722.9339</v>
      </c>
    </row>
    <row r="43" spans="1:22" ht="25.5">
      <c r="A43">
        <v>9</v>
      </c>
      <c r="B43" s="77" t="s">
        <v>51</v>
      </c>
      <c r="C43" s="92">
        <f>VLOOKUP(9,$A$4:$AX$32,3,FALSE)</f>
        <v>40730.3715</v>
      </c>
      <c r="D43" s="92">
        <f>VLOOKUP(9,$A$4:$AX$32,4,FALSE)</f>
        <v>41127.282</v>
      </c>
      <c r="E43" s="92">
        <f>VLOOKUP(9,$A$4:$AX$32,5,FALSE)</f>
        <v>41746.9815</v>
      </c>
      <c r="F43" s="92">
        <f>VLOOKUP(9,$A$4:$AX$32,6,FALSE)</f>
        <v>41772.9375</v>
      </c>
      <c r="G43" s="92">
        <f>VLOOKUP(9,$A$4:$AX$32,7,FALSE)</f>
        <v>42103.8765</v>
      </c>
      <c r="H43" s="92">
        <f>VLOOKUP(9,$A$4:$AX$32,8,FALSE)</f>
        <v>42293.139</v>
      </c>
      <c r="I43" s="92">
        <f>VLOOKUP(9,$A$4:$AX$32,9,FALSE)</f>
        <v>42481.32</v>
      </c>
      <c r="J43" s="92">
        <f>VLOOKUP(9,$A$4:$AX$32,10,FALSE)</f>
        <v>42451.038</v>
      </c>
      <c r="K43" s="92">
        <f>VLOOKUP(9,$A$4:$AX$32,11,FALSE)</f>
        <v>42849.03</v>
      </c>
      <c r="L43" s="92">
        <f>VLOOKUP(9,$A$4:$AX$32,12,FALSE)</f>
        <v>42744.1245</v>
      </c>
      <c r="M43" s="92">
        <f>VLOOKUP(9,$A$4:$AX$32,13,FALSE)</f>
        <v>42063.861</v>
      </c>
      <c r="N43" s="92">
        <f>VLOOKUP(9,$A$4:$AX$32,14,FALSE)</f>
        <v>41832.42</v>
      </c>
      <c r="O43" s="92">
        <f>VLOOKUP(9,$A$4:$AX$32,15,FALSE)</f>
        <v>41673.4395</v>
      </c>
      <c r="P43" s="92">
        <f>VLOOKUP(9,$A$4:$AX$32,16,FALSE)</f>
        <v>41445.243</v>
      </c>
      <c r="Q43" s="92">
        <f>VLOOKUP(9,$A$4:$AX$32,17,FALSE)</f>
        <v>41209.476</v>
      </c>
      <c r="R43" s="92">
        <f>VLOOKUP(9,$A$4:$AX$32,18,FALSE)</f>
        <v>41232.198</v>
      </c>
      <c r="S43" s="92">
        <f>VLOOKUP(9,$A$4:$AX$32,19,FALSE)</f>
        <v>41461.848</v>
      </c>
      <c r="T43" s="92">
        <f>VLOOKUP(9,$A$4:$AX$32,20,FALSE)</f>
        <v>41442.761</v>
      </c>
      <c r="U43" s="92">
        <f>VLOOKUP(9,$A$4:$AX$32,21,FALSE)</f>
        <v>40940.2955</v>
      </c>
      <c r="V43" s="92">
        <f>VLOOKUP(9,$A$4:$AX$32,22,FALSE)</f>
        <v>41191.488</v>
      </c>
    </row>
    <row r="44" spans="1:22" ht="25.5">
      <c r="A44">
        <v>10</v>
      </c>
      <c r="B44" s="77" t="s">
        <v>52</v>
      </c>
      <c r="C44" s="92">
        <f>VLOOKUP(10,$A$4:$AX$32,3,FALSE)</f>
        <v>89393.7</v>
      </c>
      <c r="D44" s="92">
        <f>VLOOKUP(10,$A$4:$AX$32,4,FALSE)</f>
        <v>90895.44</v>
      </c>
      <c r="E44" s="92">
        <f>VLOOKUP(10,$A$4:$AX$32,5,FALSE)</f>
        <v>91967.67</v>
      </c>
      <c r="F44" s="92">
        <f>VLOOKUP(10,$A$4:$AX$32,6,FALSE)</f>
        <v>93129.51</v>
      </c>
      <c r="G44" s="92">
        <f>VLOOKUP(10,$A$4:$AX$32,7,FALSE)</f>
        <v>94516.92</v>
      </c>
      <c r="H44" s="92">
        <f>VLOOKUP(10,$A$4:$AX$32,8,FALSE)</f>
        <v>95530.44</v>
      </c>
      <c r="I44" s="92">
        <f>VLOOKUP(10,$A$4:$AX$32,9,FALSE)</f>
        <v>96670.65</v>
      </c>
      <c r="J44" s="92">
        <f>VLOOKUP(10,$A$4:$AX$32,10,FALSE)</f>
        <v>97381.35</v>
      </c>
      <c r="K44" s="92">
        <f>VLOOKUP(10,$A$4:$AX$32,11,FALSE)</f>
        <v>99601.515</v>
      </c>
      <c r="L44" s="92">
        <f>VLOOKUP(10,$A$4:$AX$32,12,FALSE)</f>
        <v>99508.815</v>
      </c>
      <c r="M44" s="92">
        <f>VLOOKUP(10,$A$4:$AX$32,13,FALSE)</f>
        <v>99391.395</v>
      </c>
      <c r="N44" s="92">
        <f>VLOOKUP(10,$A$4:$AX$32,14,FALSE)</f>
        <v>100075.83</v>
      </c>
      <c r="O44" s="92">
        <f>VLOOKUP(10,$A$4:$AX$32,15,FALSE)</f>
        <v>101038.365</v>
      </c>
      <c r="P44" s="92">
        <f>VLOOKUP(10,$A$4:$AX$32,16,FALSE)</f>
        <v>101260.845</v>
      </c>
      <c r="Q44" s="92">
        <f>VLOOKUP(10,$A$4:$AX$32,17,FALSE)</f>
        <v>102188.932</v>
      </c>
      <c r="R44" s="92">
        <f>VLOOKUP(10,$A$4:$AX$32,18,FALSE)</f>
        <v>102723.2716</v>
      </c>
      <c r="S44" s="92">
        <f>VLOOKUP(10,$A$4:$AX$32,19,FALSE)</f>
        <v>103454.4502</v>
      </c>
      <c r="T44" s="92">
        <f>VLOOKUP(10,$A$4:$AX$32,20,FALSE)</f>
        <v>103290.0151</v>
      </c>
      <c r="U44" s="92">
        <f>VLOOKUP(10,$A$4:$AX$32,21,FALSE)</f>
        <v>102776.2797</v>
      </c>
      <c r="V44" s="92">
        <f>VLOOKUP(10,$A$4:$AX$32,22,FALSE)</f>
        <v>103371.8758</v>
      </c>
    </row>
    <row r="45" spans="1:22" ht="12.75">
      <c r="A45">
        <v>11</v>
      </c>
      <c r="B45" s="77" t="s">
        <v>53</v>
      </c>
      <c r="C45" s="92">
        <f>VLOOKUP(11,$A$4:$AX$32,3,FALSE)</f>
        <v>294074.352</v>
      </c>
      <c r="D45" s="92">
        <f>VLOOKUP(11,$A$4:$AX$32,4,FALSE)</f>
        <v>296346.336</v>
      </c>
      <c r="E45" s="92">
        <f>VLOOKUP(11,$A$4:$AX$32,5,FALSE)</f>
        <v>301111.096</v>
      </c>
      <c r="F45" s="92">
        <f>VLOOKUP(11,$A$4:$AX$32,6,FALSE)</f>
        <v>304622.032</v>
      </c>
      <c r="G45" s="92">
        <f>VLOOKUP(11,$A$4:$AX$32,7,FALSE)</f>
        <v>308558.536</v>
      </c>
      <c r="H45" s="92">
        <f>VLOOKUP(11,$A$4:$AX$32,8,FALSE)</f>
        <v>312911.456</v>
      </c>
      <c r="I45" s="92">
        <f>VLOOKUP(11,$A$4:$AX$32,9,FALSE)</f>
        <v>316465.864</v>
      </c>
      <c r="J45" s="92">
        <f>VLOOKUP(11,$A$4:$AX$32,10,FALSE)</f>
        <v>320657.48</v>
      </c>
      <c r="K45" s="92">
        <f>VLOOKUP(11,$A$4:$AX$32,11,FALSE)</f>
        <v>326155.544</v>
      </c>
      <c r="L45" s="92">
        <f>VLOOKUP(11,$A$4:$AX$32,12,FALSE)</f>
        <v>326883.128</v>
      </c>
      <c r="M45" s="92">
        <f>VLOOKUP(11,$A$4:$AX$32,13,FALSE)</f>
        <v>328194.152</v>
      </c>
      <c r="N45" s="92">
        <f>VLOOKUP(11,$A$4:$AX$32,14,FALSE)</f>
        <v>331201.728</v>
      </c>
      <c r="O45" s="92">
        <f>VLOOKUP(11,$A$4:$AX$32,15,FALSE)</f>
        <v>335791.456</v>
      </c>
      <c r="P45" s="92">
        <f>VLOOKUP(11,$A$4:$AX$32,16,FALSE)</f>
        <v>338497.016</v>
      </c>
      <c r="Q45" s="92">
        <f>VLOOKUP(11,$A$4:$AX$32,17,FALSE)</f>
        <v>342244.76</v>
      </c>
      <c r="R45" s="92">
        <f>VLOOKUP(11,$A$4:$AX$32,18,FALSE)</f>
        <v>344524.752</v>
      </c>
      <c r="S45" s="92">
        <f>VLOOKUP(11,$A$4:$AX$32,19,FALSE)</f>
        <v>348659.0385</v>
      </c>
      <c r="T45" s="92">
        <f>VLOOKUP(11,$A$4:$AX$32,20,FALSE)</f>
        <v>349306.096</v>
      </c>
      <c r="U45" s="92">
        <f>VLOOKUP(11,$A$4:$AX$32,21,FALSE)</f>
        <v>343774.305</v>
      </c>
      <c r="V45" s="92">
        <f>VLOOKUP(11,$A$4:$AX$32,22,FALSE)</f>
        <v>342128.129</v>
      </c>
    </row>
    <row r="46" spans="1:22" ht="12.75">
      <c r="A46">
        <v>12</v>
      </c>
      <c r="B46" s="77" t="s">
        <v>54</v>
      </c>
      <c r="C46" s="92">
        <f>VLOOKUP(12,$A$4:$AX$32,3,FALSE)</f>
        <v>196746.8265</v>
      </c>
      <c r="D46" s="92">
        <f>VLOOKUP(12,$A$4:$AX$32,4,FALSE)</f>
        <v>198854.8785</v>
      </c>
      <c r="E46" s="92">
        <f>VLOOKUP(12,$A$4:$AX$32,5,FALSE)</f>
        <v>202765.2345</v>
      </c>
      <c r="F46" s="92">
        <f>VLOOKUP(12,$A$4:$AX$32,6,FALSE)</f>
        <v>206056.0485</v>
      </c>
      <c r="G46" s="92">
        <f>VLOOKUP(12,$A$4:$AX$32,7,FALSE)</f>
        <v>207894.5595</v>
      </c>
      <c r="H46" s="92">
        <f>VLOOKUP(12,$A$4:$AX$32,8,FALSE)</f>
        <v>209706.921</v>
      </c>
      <c r="I46" s="92">
        <f>VLOOKUP(12,$A$4:$AX$32,9,FALSE)</f>
        <v>212253.48</v>
      </c>
      <c r="J46" s="92">
        <f>VLOOKUP(12,$A$4:$AX$32,10,FALSE)</f>
        <v>214232.796</v>
      </c>
      <c r="K46" s="92">
        <f>VLOOKUP(12,$A$4:$AX$32,11,FALSE)</f>
        <v>216031.077</v>
      </c>
      <c r="L46" s="92">
        <f>VLOOKUP(12,$A$4:$AX$32,12,FALSE)</f>
        <v>216686.826</v>
      </c>
      <c r="M46" s="92">
        <f>VLOOKUP(12,$A$4:$AX$32,13,FALSE)</f>
        <v>217803.2085</v>
      </c>
      <c r="N46" s="92">
        <f>VLOOKUP(12,$A$4:$AX$32,14,FALSE)</f>
        <v>220086.261</v>
      </c>
      <c r="O46" s="92">
        <f>VLOOKUP(12,$A$4:$AX$32,15,FALSE)</f>
        <v>223045.1775</v>
      </c>
      <c r="P46" s="92">
        <f>VLOOKUP(12,$A$4:$AX$32,16,FALSE)</f>
        <v>225346.3335</v>
      </c>
      <c r="Q46" s="92">
        <f>VLOOKUP(12,$A$4:$AX$32,17,FALSE)</f>
        <v>228677.3775</v>
      </c>
      <c r="R46" s="92">
        <f>VLOOKUP(12,$A$4:$AX$32,18,FALSE)</f>
        <v>229860.1395</v>
      </c>
      <c r="S46" s="92">
        <f>VLOOKUP(12,$A$4:$AX$32,19,FALSE)</f>
        <v>232931.9551</v>
      </c>
      <c r="T46" s="92">
        <f>VLOOKUP(12,$A$4:$AX$32,20,FALSE)</f>
        <v>234195.5759</v>
      </c>
      <c r="U46" s="92">
        <f>VLOOKUP(12,$A$4:$AX$32,21,FALSE)</f>
        <v>232761.6247</v>
      </c>
      <c r="V46" s="92">
        <f>VLOOKUP(12,$A$4:$AX$32,22,FALSE)</f>
        <v>233878.2058</v>
      </c>
    </row>
    <row r="47" spans="1:22" ht="12.75">
      <c r="A47">
        <v>13</v>
      </c>
      <c r="B47" s="77" t="s">
        <v>55</v>
      </c>
      <c r="C47" s="92">
        <f>VLOOKUP(13,$A$4:$AX$32,3,FALSE)</f>
        <v>181867.608</v>
      </c>
      <c r="D47" s="92">
        <f>VLOOKUP(13,$A$4:$AX$32,4,FALSE)</f>
        <v>182543.062</v>
      </c>
      <c r="E47" s="92">
        <f>VLOOKUP(13,$A$4:$AX$32,5,FALSE)</f>
        <v>185454.204</v>
      </c>
      <c r="F47" s="92">
        <f>VLOOKUP(13,$A$4:$AX$32,6,FALSE)</f>
        <v>185704.532</v>
      </c>
      <c r="G47" s="92">
        <f>VLOOKUP(13,$A$4:$AX$32,7,FALSE)</f>
        <v>188074.016</v>
      </c>
      <c r="H47" s="92">
        <f>VLOOKUP(13,$A$4:$AX$32,8,FALSE)</f>
        <v>189403.344</v>
      </c>
      <c r="I47" s="92">
        <f>VLOOKUP(13,$A$4:$AX$32,9,FALSE)</f>
        <v>191114.638</v>
      </c>
      <c r="J47" s="92">
        <f>VLOOKUP(13,$A$4:$AX$32,10,FALSE)</f>
        <v>192273.484</v>
      </c>
      <c r="K47" s="92">
        <f>VLOOKUP(13,$A$4:$AX$32,11,FALSE)</f>
        <v>195279.578</v>
      </c>
      <c r="L47" s="92">
        <f>VLOOKUP(13,$A$4:$AX$32,12,FALSE)</f>
        <v>193563.968</v>
      </c>
      <c r="M47" s="92">
        <f>VLOOKUP(13,$A$4:$AX$32,13,FALSE)</f>
        <v>193451.752</v>
      </c>
      <c r="N47" s="92">
        <f>VLOOKUP(13,$A$4:$AX$32,14,FALSE)</f>
        <v>194517.804</v>
      </c>
      <c r="O47" s="92">
        <f>VLOOKUP(13,$A$4:$AX$32,15,FALSE)</f>
        <v>196168.674</v>
      </c>
      <c r="P47" s="92">
        <f>VLOOKUP(13,$A$4:$AX$32,16,FALSE)</f>
        <v>196384.474</v>
      </c>
      <c r="Q47" s="92">
        <f>VLOOKUP(13,$A$4:$AX$32,17,FALSE)</f>
        <v>195898.924</v>
      </c>
      <c r="R47" s="92">
        <f>VLOOKUP(13,$A$4:$AX$32,18,FALSE)</f>
        <v>194981.774</v>
      </c>
      <c r="S47" s="92">
        <f>VLOOKUP(13,$A$4:$AX$32,19,FALSE)</f>
        <v>194018.9539</v>
      </c>
      <c r="T47" s="92">
        <f>VLOOKUP(13,$A$4:$AX$32,20,FALSE)</f>
        <v>192459.6719</v>
      </c>
      <c r="U47" s="92">
        <f>VLOOKUP(13,$A$4:$AX$32,21,FALSE)</f>
        <v>190700.4142</v>
      </c>
      <c r="V47" s="92">
        <f>VLOOKUP(13,$A$4:$AX$32,22,FALSE)</f>
        <v>192361.5273</v>
      </c>
    </row>
    <row r="48" spans="1:22" ht="12.75">
      <c r="A48">
        <v>14</v>
      </c>
      <c r="B48" s="77" t="s">
        <v>56</v>
      </c>
      <c r="C48" s="92">
        <f>VLOOKUP(14,$A$4:$AX$32,3,FALSE)</f>
        <v>12678.25</v>
      </c>
      <c r="D48" s="92">
        <f>VLOOKUP(14,$A$4:$AX$32,4,FALSE)</f>
        <v>13463.762</v>
      </c>
      <c r="E48" s="92">
        <f>VLOOKUP(14,$A$4:$AX$32,5,FALSE)</f>
        <v>14363.648</v>
      </c>
      <c r="F48" s="92">
        <f>VLOOKUP(14,$A$4:$AX$32,6,FALSE)</f>
        <v>15179.372</v>
      </c>
      <c r="G48" s="92">
        <f>VLOOKUP(14,$A$4:$AX$32,7,FALSE)</f>
        <v>15869.932</v>
      </c>
      <c r="H48" s="92">
        <f>VLOOKUP(14,$A$4:$AX$32,8,FALSE)</f>
        <v>17058.99</v>
      </c>
      <c r="I48" s="92">
        <f>VLOOKUP(14,$A$4:$AX$32,9,FALSE)</f>
        <v>18058.144</v>
      </c>
      <c r="J48" s="92">
        <f>VLOOKUP(14,$A$4:$AX$32,10,FALSE)</f>
        <v>18744.388</v>
      </c>
      <c r="K48" s="92">
        <f>VLOOKUP(14,$A$4:$AX$32,11,FALSE)</f>
        <v>19976.606</v>
      </c>
      <c r="L48" s="92">
        <f>VLOOKUP(14,$A$4:$AX$32,12,FALSE)</f>
        <v>21668.478</v>
      </c>
      <c r="M48" s="92">
        <f>VLOOKUP(14,$A$4:$AX$32,13,FALSE)</f>
        <v>22659</v>
      </c>
      <c r="N48" s="92">
        <f>VLOOKUP(14,$A$4:$AX$32,14,FALSE)</f>
        <v>24160.968</v>
      </c>
      <c r="O48" s="92">
        <f>VLOOKUP(14,$A$4:$AX$32,15,FALSE)</f>
        <v>25425.556</v>
      </c>
      <c r="P48" s="92">
        <f>VLOOKUP(14,$A$4:$AX$32,16,FALSE)</f>
        <v>26944.788</v>
      </c>
      <c r="Q48" s="92">
        <f>VLOOKUP(14,$A$4:$AX$32,17,FALSE)</f>
        <v>28567.604</v>
      </c>
      <c r="R48" s="92">
        <f>VLOOKUP(14,$A$4:$AX$32,18,FALSE)</f>
        <v>29687.606</v>
      </c>
      <c r="S48" s="92">
        <f>VLOOKUP(14,$A$4:$AX$32,19,FALSE)</f>
        <v>31448.534</v>
      </c>
      <c r="T48" s="92">
        <f>VLOOKUP(14,$A$4:$AX$32,20,FALSE)</f>
        <v>32539.9382</v>
      </c>
      <c r="U48" s="92">
        <f>VLOOKUP(14,$A$4:$AX$32,21,FALSE)</f>
        <v>32748.7204</v>
      </c>
      <c r="V48" s="92">
        <f>VLOOKUP(14,$A$4:$AX$32,22,FALSE)</f>
        <v>34042.1399</v>
      </c>
    </row>
    <row r="49" spans="1:22" ht="12.75">
      <c r="A49">
        <v>15</v>
      </c>
      <c r="B49" s="77" t="s">
        <v>57</v>
      </c>
      <c r="C49" s="92">
        <f>VLOOKUP(15,$A$4:$AX$32,3,FALSE)</f>
        <v>0</v>
      </c>
      <c r="D49" s="92">
        <f>VLOOKUP(15,$A$4:$AX$32,4,FALSE)</f>
        <v>0</v>
      </c>
      <c r="E49" s="92">
        <f>VLOOKUP(15,$A$4:$AX$32,5,FALSE)</f>
        <v>0</v>
      </c>
      <c r="F49" s="92">
        <f>VLOOKUP(15,$A$4:$AX$32,6,FALSE)</f>
        <v>0</v>
      </c>
      <c r="G49" s="92">
        <f>VLOOKUP(15,$A$4:$AX$32,7,FALSE)</f>
        <v>0</v>
      </c>
      <c r="H49" s="92">
        <f>VLOOKUP(15,$A$4:$AX$32,8,FALSE)</f>
        <v>0</v>
      </c>
      <c r="I49" s="92">
        <f>VLOOKUP(15,$A$4:$AX$32,9,FALSE)</f>
        <v>0</v>
      </c>
      <c r="J49" s="92">
        <f>VLOOKUP(15,$A$4:$AX$32,10,FALSE)</f>
        <v>0</v>
      </c>
      <c r="K49" s="92">
        <f>VLOOKUP(15,$A$4:$AX$32,11,FALSE)</f>
        <v>605.727</v>
      </c>
      <c r="L49" s="92">
        <f>VLOOKUP(15,$A$4:$AX$32,12,FALSE)</f>
        <v>2249.304</v>
      </c>
      <c r="M49" s="92">
        <f>VLOOKUP(15,$A$4:$AX$32,13,FALSE)</f>
        <v>4267.4505</v>
      </c>
      <c r="N49" s="92">
        <f>VLOOKUP(15,$A$4:$AX$32,14,FALSE)</f>
        <v>7417.797</v>
      </c>
      <c r="O49" s="92">
        <f>VLOOKUP(15,$A$4:$AX$32,15,FALSE)</f>
        <v>11787.1455</v>
      </c>
      <c r="P49" s="92">
        <f>VLOOKUP(15,$A$4:$AX$32,16,FALSE)</f>
        <v>16289.8208</v>
      </c>
      <c r="Q49" s="92">
        <f>VLOOKUP(15,$A$4:$AX$32,17,FALSE)</f>
        <v>21279.3421</v>
      </c>
      <c r="R49" s="92">
        <f>VLOOKUP(15,$A$4:$AX$32,18,FALSE)</f>
        <v>27290.2769</v>
      </c>
      <c r="S49" s="92">
        <f>VLOOKUP(15,$A$4:$AX$32,19,FALSE)</f>
        <v>34108.3935</v>
      </c>
      <c r="T49" s="92">
        <f>VLOOKUP(15,$A$4:$AX$32,20,FALSE)</f>
        <v>41290.5806</v>
      </c>
      <c r="U49" s="92">
        <f>VLOOKUP(15,$A$4:$AX$32,21,FALSE)</f>
        <v>48396.5974</v>
      </c>
      <c r="V49" s="92">
        <f>VLOOKUP(15,$A$4:$AX$32,22,FALSE)</f>
        <v>56745.906</v>
      </c>
    </row>
    <row r="50" spans="1:22" ht="12.75">
      <c r="A50">
        <v>16</v>
      </c>
      <c r="B50" s="77" t="s">
        <v>58</v>
      </c>
      <c r="C50" s="92">
        <f>VLOOKUP(16,$A$4:$AX$32,3,FALSE)</f>
        <v>77100.1875</v>
      </c>
      <c r="D50" s="92">
        <f>VLOOKUP(16,$A$4:$AX$32,4,FALSE)</f>
        <v>79956.36</v>
      </c>
      <c r="E50" s="92">
        <f>VLOOKUP(16,$A$4:$AX$32,5,FALSE)</f>
        <v>83755.44</v>
      </c>
      <c r="F50" s="92">
        <f>VLOOKUP(16,$A$4:$AX$32,6,FALSE)</f>
        <v>87387.075</v>
      </c>
      <c r="G50" s="92">
        <f>VLOOKUP(16,$A$4:$AX$32,7,FALSE)</f>
        <v>91411.245</v>
      </c>
      <c r="H50" s="92">
        <f>VLOOKUP(16,$A$4:$AX$32,8,FALSE)</f>
        <v>95521.8825</v>
      </c>
      <c r="I50" s="92">
        <f>VLOOKUP(16,$A$4:$AX$32,9,FALSE)</f>
        <v>99581.7375</v>
      </c>
      <c r="J50" s="92">
        <f>VLOOKUP(16,$A$4:$AX$32,10,FALSE)</f>
        <v>102536.73</v>
      </c>
      <c r="K50" s="92">
        <f>VLOOKUP(16,$A$4:$AX$32,11,FALSE)</f>
        <v>106834.0275</v>
      </c>
      <c r="L50" s="92">
        <f>VLOOKUP(16,$A$4:$AX$32,12,FALSE)</f>
        <v>109686.0825</v>
      </c>
      <c r="M50" s="92">
        <f>VLOOKUP(16,$A$4:$AX$32,13,FALSE)</f>
        <v>112343.2425</v>
      </c>
      <c r="N50" s="92">
        <f>VLOOKUP(16,$A$4:$AX$32,14,FALSE)</f>
        <v>115438.23</v>
      </c>
      <c r="O50" s="92">
        <f>VLOOKUP(16,$A$4:$AX$32,15,FALSE)</f>
        <v>119013.5925</v>
      </c>
      <c r="P50" s="92">
        <f>VLOOKUP(16,$A$4:$AX$32,16,FALSE)</f>
        <v>122561.505</v>
      </c>
      <c r="Q50" s="92">
        <f>VLOOKUP(16,$A$4:$AX$32,17,FALSE)</f>
        <v>125896.68</v>
      </c>
      <c r="R50" s="92">
        <f>VLOOKUP(16,$A$4:$AX$32,18,FALSE)</f>
        <v>128411.1</v>
      </c>
      <c r="S50" s="92">
        <f>VLOOKUP(16,$A$4:$AX$32,19,FALSE)</f>
        <v>130583.7675</v>
      </c>
      <c r="T50" s="92">
        <f>VLOOKUP(16,$A$4:$AX$32,20,FALSE)</f>
        <v>132260.9625</v>
      </c>
      <c r="U50" s="92">
        <f>VLOOKUP(16,$A$4:$AX$32,21,FALSE)</f>
        <v>132801.7275</v>
      </c>
      <c r="V50" s="92">
        <f>VLOOKUP(16,$A$4:$AX$32,22,FALSE)</f>
        <v>135446.535</v>
      </c>
    </row>
    <row r="51" spans="1:22" ht="12.75">
      <c r="A51">
        <v>17</v>
      </c>
      <c r="B51" s="77" t="s">
        <v>59</v>
      </c>
      <c r="C51" s="92">
        <f>VLOOKUP(17,$A$4:$AX$32,3,FALSE)</f>
        <v>13045.389</v>
      </c>
      <c r="D51" s="92">
        <f>VLOOKUP(17,$A$4:$AX$32,4,FALSE)</f>
        <v>13702.53</v>
      </c>
      <c r="E51" s="92">
        <f>VLOOKUP(17,$A$4:$AX$32,5,FALSE)</f>
        <v>14813.658</v>
      </c>
      <c r="F51" s="92">
        <f>VLOOKUP(17,$A$4:$AX$32,6,FALSE)</f>
        <v>15866.742</v>
      </c>
      <c r="G51" s="92">
        <f>VLOOKUP(17,$A$4:$AX$32,7,FALSE)</f>
        <v>16509.372</v>
      </c>
      <c r="H51" s="92">
        <f>VLOOKUP(17,$A$4:$AX$32,8,FALSE)</f>
        <v>17247.36</v>
      </c>
      <c r="I51" s="92">
        <f>VLOOKUP(17,$A$4:$AX$32,9,FALSE)</f>
        <v>17794.632</v>
      </c>
      <c r="J51" s="92">
        <f>VLOOKUP(17,$A$4:$AX$32,10,FALSE)</f>
        <v>18368.853</v>
      </c>
      <c r="K51" s="92">
        <f>VLOOKUP(17,$A$4:$AX$32,11,FALSE)</f>
        <v>18961.731</v>
      </c>
      <c r="L51" s="92">
        <f>VLOOKUP(17,$A$4:$AX$32,12,FALSE)</f>
        <v>19880.07</v>
      </c>
      <c r="M51" s="92">
        <f>VLOOKUP(17,$A$4:$AX$32,13,FALSE)</f>
        <v>20798.409</v>
      </c>
      <c r="N51" s="92">
        <f>VLOOKUP(17,$A$4:$AX$32,14,FALSE)</f>
        <v>21855.639</v>
      </c>
      <c r="O51" s="92">
        <f>VLOOKUP(17,$A$4:$AX$32,15,FALSE)</f>
        <v>22898.358</v>
      </c>
      <c r="P51" s="92">
        <f>VLOOKUP(17,$A$4:$AX$32,16,FALSE)</f>
        <v>23698.536</v>
      </c>
      <c r="Q51" s="92">
        <f>VLOOKUP(17,$A$4:$AX$32,17,FALSE)</f>
        <v>24017.778</v>
      </c>
      <c r="R51" s="92">
        <f>VLOOKUP(17,$A$4:$AX$32,18,FALSE)</f>
        <v>24691.503</v>
      </c>
      <c r="S51" s="92">
        <f>VLOOKUP(17,$A$4:$AX$32,19,FALSE)</f>
        <v>25383.885</v>
      </c>
      <c r="T51" s="92">
        <f>VLOOKUP(17,$A$4:$AX$32,20,FALSE)</f>
        <v>26113.581</v>
      </c>
      <c r="U51" s="92">
        <f>VLOOKUP(17,$A$4:$AX$32,21,FALSE)</f>
        <v>26652.561</v>
      </c>
      <c r="V51" s="92">
        <f>VLOOKUP(17,$A$4:$AX$32,22,FALSE)</f>
        <v>27647.601</v>
      </c>
    </row>
    <row r="52" spans="1:22" ht="12.75">
      <c r="A52">
        <v>18</v>
      </c>
      <c r="B52" s="77" t="s">
        <v>60</v>
      </c>
      <c r="C52" s="92">
        <f>VLOOKUP(18,$A$4:$AX$32,3,FALSE)</f>
        <v>29283.1565</v>
      </c>
      <c r="D52" s="92">
        <f>VLOOKUP(18,$A$4:$AX$32,4,FALSE)</f>
        <v>40127.6005</v>
      </c>
      <c r="E52" s="92">
        <f>VLOOKUP(18,$A$4:$AX$32,5,FALSE)</f>
        <v>50581.843</v>
      </c>
      <c r="F52" s="92">
        <f>VLOOKUP(18,$A$4:$AX$32,6,FALSE)</f>
        <v>61588.683</v>
      </c>
      <c r="G52" s="92">
        <f>VLOOKUP(18,$A$4:$AX$32,7,FALSE)</f>
        <v>72482.748</v>
      </c>
      <c r="H52" s="92">
        <f>VLOOKUP(18,$A$4:$AX$32,8,FALSE)</f>
        <v>84578.9945</v>
      </c>
      <c r="I52" s="92">
        <f>VLOOKUP(18,$A$4:$AX$32,9,FALSE)</f>
        <v>97642.8505</v>
      </c>
      <c r="J52" s="92">
        <f>VLOOKUP(18,$A$4:$AX$32,10,FALSE)</f>
        <v>110975.111</v>
      </c>
      <c r="K52" s="92">
        <f>VLOOKUP(18,$A$4:$AX$32,11,FALSE)</f>
        <v>123161.5775</v>
      </c>
      <c r="L52" s="92">
        <f>VLOOKUP(18,$A$4:$AX$32,12,FALSE)</f>
        <v>133153.4425</v>
      </c>
      <c r="M52" s="92">
        <f>VLOOKUP(18,$A$4:$AX$32,13,FALSE)</f>
        <v>140855.975</v>
      </c>
      <c r="N52" s="92">
        <f>VLOOKUP(18,$A$4:$AX$32,14,FALSE)</f>
        <v>148100.641</v>
      </c>
      <c r="O52" s="92">
        <f>VLOOKUP(18,$A$4:$AX$32,15,FALSE)</f>
        <v>153816.078</v>
      </c>
      <c r="P52" s="92">
        <f>VLOOKUP(18,$A$4:$AX$32,16,FALSE)</f>
        <v>157515.098</v>
      </c>
      <c r="Q52" s="92">
        <f>VLOOKUP(18,$A$4:$AX$32,17,FALSE)</f>
        <v>161965.1995</v>
      </c>
      <c r="R52" s="92">
        <f>VLOOKUP(18,$A$4:$AX$32,18,FALSE)</f>
        <v>164180.1005</v>
      </c>
      <c r="S52" s="92">
        <f>VLOOKUP(18,$A$4:$AX$32,19,FALSE)</f>
        <v>169115.1345</v>
      </c>
      <c r="T52" s="92">
        <f>VLOOKUP(18,$A$4:$AX$32,20,FALSE)</f>
        <v>173019.405</v>
      </c>
      <c r="U52" s="92">
        <f>VLOOKUP(18,$A$4:$AX$32,21,FALSE)</f>
        <v>174641.1095</v>
      </c>
      <c r="V52" s="92">
        <f>VLOOKUP(18,$A$4:$AX$32,22,FALSE)</f>
        <v>177825.8755</v>
      </c>
    </row>
    <row r="53" spans="1:22" ht="12.75">
      <c r="A53">
        <v>19</v>
      </c>
      <c r="B53" s="77" t="s">
        <v>61</v>
      </c>
      <c r="C53" s="92">
        <f>VLOOKUP(19,$A$4:$AX$32,3,FALSE)</f>
        <v>0</v>
      </c>
      <c r="D53" s="92">
        <f>VLOOKUP(19,$A$4:$AX$32,4,FALSE)</f>
        <v>0</v>
      </c>
      <c r="E53" s="92">
        <f>VLOOKUP(19,$A$4:$AX$32,5,FALSE)</f>
        <v>0</v>
      </c>
      <c r="F53" s="92">
        <f>VLOOKUP(19,$A$4:$AX$32,6,FALSE)</f>
        <v>0</v>
      </c>
      <c r="G53" s="92">
        <f>VLOOKUP(19,$A$4:$AX$32,7,FALSE)</f>
        <v>0</v>
      </c>
      <c r="H53" s="92">
        <f>VLOOKUP(19,$A$4:$AX$32,8,FALSE)</f>
        <v>0</v>
      </c>
      <c r="I53" s="92">
        <f>VLOOKUP(19,$A$4:$AX$32,9,FALSE)</f>
        <v>0</v>
      </c>
      <c r="J53" s="92">
        <f>VLOOKUP(19,$A$4:$AX$32,10,FALSE)</f>
        <v>179.183</v>
      </c>
      <c r="K53" s="92">
        <f>VLOOKUP(19,$A$4:$AX$32,11,FALSE)</f>
        <v>741.028</v>
      </c>
      <c r="L53" s="92">
        <f>VLOOKUP(19,$A$4:$AX$32,12,FALSE)</f>
        <v>1986.198</v>
      </c>
      <c r="M53" s="92">
        <f>VLOOKUP(19,$A$4:$AX$32,13,FALSE)</f>
        <v>3753.732</v>
      </c>
      <c r="N53" s="92">
        <f>VLOOKUP(19,$A$4:$AX$32,14,FALSE)</f>
        <v>6401.996</v>
      </c>
      <c r="O53" s="92">
        <f>VLOOKUP(19,$A$4:$AX$32,15,FALSE)</f>
        <v>9335.738</v>
      </c>
      <c r="P53" s="92">
        <f>VLOOKUP(19,$A$4:$AX$32,16,FALSE)</f>
        <v>12855.621</v>
      </c>
      <c r="Q53" s="92">
        <f>VLOOKUP(19,$A$4:$AX$32,17,FALSE)</f>
        <v>16205.432</v>
      </c>
      <c r="R53" s="92">
        <f>VLOOKUP(19,$A$4:$AX$32,18,FALSE)</f>
        <v>20414.714</v>
      </c>
      <c r="S53" s="92">
        <f>VLOOKUP(19,$A$4:$AX$32,19,FALSE)</f>
        <v>25519.911</v>
      </c>
      <c r="T53" s="92">
        <f>VLOOKUP(19,$A$4:$AX$32,20,FALSE)</f>
        <v>30597.775</v>
      </c>
      <c r="U53" s="92">
        <f>VLOOKUP(19,$A$4:$AX$32,21,FALSE)</f>
        <v>36325.557</v>
      </c>
      <c r="V53" s="92">
        <f>VLOOKUP(19,$A$4:$AX$32,22,FALSE)</f>
        <v>42688.072</v>
      </c>
    </row>
    <row r="54" spans="1:22" ht="12.75">
      <c r="A54">
        <v>20</v>
      </c>
      <c r="B54" s="77" t="s">
        <v>62</v>
      </c>
      <c r="C54" s="92">
        <f>VLOOKUP(20,$A$4:$AX$32,3,FALSE)</f>
        <v>0</v>
      </c>
      <c r="D54" s="92">
        <f>VLOOKUP(20,$A$4:$AX$32,4,FALSE)</f>
        <v>0</v>
      </c>
      <c r="E54" s="92">
        <f>VLOOKUP(20,$A$4:$AX$32,5,FALSE)</f>
        <v>0</v>
      </c>
      <c r="F54" s="92">
        <f>VLOOKUP(20,$A$4:$AX$32,6,FALSE)</f>
        <v>0</v>
      </c>
      <c r="G54" s="92">
        <f>VLOOKUP(20,$A$4:$AX$32,7,FALSE)</f>
        <v>0</v>
      </c>
      <c r="H54" s="92">
        <f>VLOOKUP(20,$A$4:$AX$32,8,FALSE)</f>
        <v>0</v>
      </c>
      <c r="I54" s="92">
        <f>VLOOKUP(20,$A$4:$AX$32,9,FALSE)</f>
        <v>0</v>
      </c>
      <c r="J54" s="92">
        <f>VLOOKUP(20,$A$4:$AX$32,10,FALSE)</f>
        <v>117.216</v>
      </c>
      <c r="K54" s="92">
        <f>VLOOKUP(20,$A$4:$AX$32,11,FALSE)</f>
        <v>610.944</v>
      </c>
      <c r="L54" s="92">
        <f>VLOOKUP(20,$A$4:$AX$32,12,FALSE)</f>
        <v>1598.4</v>
      </c>
      <c r="M54" s="92">
        <f>VLOOKUP(20,$A$4:$AX$32,13,FALSE)</f>
        <v>2845.152</v>
      </c>
      <c r="N54" s="92">
        <f>VLOOKUP(20,$A$4:$AX$32,14,FALSE)</f>
        <v>5104.224</v>
      </c>
      <c r="O54" s="92">
        <f>VLOOKUP(20,$A$4:$AX$32,15,FALSE)</f>
        <v>7594.176</v>
      </c>
      <c r="P54" s="92">
        <f>VLOOKUP(20,$A$4:$AX$32,16,FALSE)</f>
        <v>10435.776</v>
      </c>
      <c r="Q54" s="92">
        <f>VLOOKUP(20,$A$4:$AX$32,17,FALSE)</f>
        <v>13962.912</v>
      </c>
      <c r="R54" s="92">
        <f>VLOOKUP(20,$A$4:$AX$32,18,FALSE)</f>
        <v>17113.536</v>
      </c>
      <c r="S54" s="92">
        <f>VLOOKUP(20,$A$4:$AX$32,19,FALSE)</f>
        <v>21887.424</v>
      </c>
      <c r="T54" s="92">
        <f>VLOOKUP(20,$A$4:$AX$32,20,FALSE)</f>
        <v>25901.184</v>
      </c>
      <c r="U54" s="92">
        <f>VLOOKUP(20,$A$4:$AX$32,21,FALSE)</f>
        <v>29687.616</v>
      </c>
      <c r="V54" s="92">
        <f>VLOOKUP(20,$A$4:$AX$32,22,FALSE)</f>
        <v>34319.424</v>
      </c>
    </row>
    <row r="55" spans="1:22" ht="12.75">
      <c r="A55">
        <v>21</v>
      </c>
      <c r="B55" s="77" t="s">
        <v>63</v>
      </c>
      <c r="C55" s="92">
        <f>VLOOKUP(21,$A$4:$AX$32,3,FALSE)</f>
        <v>2490.384</v>
      </c>
      <c r="D55" s="92">
        <f>VLOOKUP(21,$A$4:$AX$32,4,FALSE)</f>
        <v>2514.944</v>
      </c>
      <c r="E55" s="92">
        <f>VLOOKUP(21,$A$4:$AX$32,5,FALSE)</f>
        <v>2487.314</v>
      </c>
      <c r="F55" s="92">
        <f>VLOOKUP(21,$A$4:$AX$32,6,FALSE)</f>
        <v>2532.75</v>
      </c>
      <c r="G55" s="92">
        <f>VLOOKUP(21,$A$4:$AX$32,7,FALSE)</f>
        <v>2597.22</v>
      </c>
      <c r="H55" s="92">
        <f>VLOOKUP(21,$A$4:$AX$32,8,FALSE)</f>
        <v>2658.006</v>
      </c>
      <c r="I55" s="92">
        <f>VLOOKUP(21,$A$4:$AX$32,9,FALSE)</f>
        <v>2702.828</v>
      </c>
      <c r="J55" s="92">
        <f>VLOOKUP(21,$A$4:$AX$32,10,FALSE)</f>
        <v>2710.196</v>
      </c>
      <c r="K55" s="92">
        <f>VLOOKUP(21,$A$4:$AX$32,11,FALSE)</f>
        <v>2702.214</v>
      </c>
      <c r="L55" s="92">
        <f>VLOOKUP(21,$A$4:$AX$32,12,FALSE)</f>
        <v>2686.25</v>
      </c>
      <c r="M55" s="92">
        <f>VLOOKUP(21,$A$4:$AX$32,13,FALSE)</f>
        <v>2694.232</v>
      </c>
      <c r="N55" s="92">
        <f>VLOOKUP(21,$A$4:$AX$32,14,FALSE)</f>
        <v>2710.196</v>
      </c>
      <c r="O55" s="92">
        <f>VLOOKUP(21,$A$4:$AX$32,15,FALSE)</f>
        <v>2681.338</v>
      </c>
      <c r="P55" s="92">
        <f>VLOOKUP(21,$A$4:$AX$32,16,FALSE)</f>
        <v>2664.76</v>
      </c>
      <c r="Q55" s="92">
        <f>VLOOKUP(21,$A$4:$AX$32,17,FALSE)</f>
        <v>2535.206</v>
      </c>
      <c r="R55" s="92">
        <f>VLOOKUP(21,$A$4:$AX$32,18,FALSE)</f>
        <v>2368.198</v>
      </c>
      <c r="S55" s="92">
        <f>VLOOKUP(21,$A$4:$AX$32,19,FALSE)</f>
        <v>2275.484</v>
      </c>
      <c r="T55" s="92">
        <f>VLOOKUP(21,$A$4:$AX$32,20,FALSE)</f>
        <v>2210.4</v>
      </c>
      <c r="U55" s="92">
        <f>VLOOKUP(21,$A$4:$AX$32,21,FALSE)</f>
        <v>2072.864</v>
      </c>
      <c r="V55" s="92">
        <f>VLOOKUP(21,$A$4:$AX$32,22,FALSE)</f>
        <v>2056.286</v>
      </c>
    </row>
    <row r="56" spans="1:22" ht="25.5">
      <c r="A56">
        <v>22</v>
      </c>
      <c r="B56" s="77" t="s">
        <v>64</v>
      </c>
      <c r="C56" s="92">
        <f>VLOOKUP(22,$A$4:$AX$32,3,FALSE)</f>
        <v>8584.3515</v>
      </c>
      <c r="D56" s="92">
        <f>VLOOKUP(22,$A$4:$AX$32,4,FALSE)</f>
        <v>8739.4305</v>
      </c>
      <c r="E56" s="92">
        <f>VLOOKUP(22,$A$4:$AX$32,5,FALSE)</f>
        <v>8777.03</v>
      </c>
      <c r="F56" s="92">
        <f>VLOOKUP(22,$A$4:$AX$32,6,FALSE)</f>
        <v>8784.2805</v>
      </c>
      <c r="G56" s="92">
        <f>VLOOKUP(22,$A$4:$AX$32,7,FALSE)</f>
        <v>8950.8235</v>
      </c>
      <c r="H56" s="92">
        <f>VLOOKUP(22,$A$4:$AX$32,8,FALSE)</f>
        <v>9027.654</v>
      </c>
      <c r="I56" s="92">
        <f>VLOOKUP(22,$A$4:$AX$32,9,FALSE)</f>
        <v>8909.706</v>
      </c>
      <c r="J56" s="92">
        <f>VLOOKUP(22,$A$4:$AX$32,10,FALSE)</f>
        <v>8981.984</v>
      </c>
      <c r="K56" s="92">
        <f>VLOOKUP(22,$A$4:$AX$32,11,FALSE)</f>
        <v>9066.5035</v>
      </c>
      <c r="L56" s="92">
        <f>VLOOKUP(22,$A$4:$AX$32,12,FALSE)</f>
        <v>9011.3895</v>
      </c>
      <c r="M56" s="92">
        <f>VLOOKUP(22,$A$4:$AX$32,13,FALSE)</f>
        <v>8843.5295</v>
      </c>
      <c r="N56" s="92">
        <f>VLOOKUP(22,$A$4:$AX$32,14,FALSE)</f>
        <v>8733.062</v>
      </c>
      <c r="O56" s="92">
        <f>VLOOKUP(22,$A$4:$AX$32,15,FALSE)</f>
        <v>8585.7735</v>
      </c>
      <c r="P56" s="92">
        <f>VLOOKUP(22,$A$4:$AX$32,16,FALSE)</f>
        <v>8373.9115</v>
      </c>
      <c r="Q56" s="92">
        <f>VLOOKUP(22,$A$4:$AX$32,17,FALSE)</f>
        <v>8289.5405</v>
      </c>
      <c r="R56" s="92">
        <f>VLOOKUP(22,$A$4:$AX$32,18,FALSE)</f>
        <v>8228.2935</v>
      </c>
      <c r="S56" s="92">
        <f>VLOOKUP(22,$A$4:$AX$32,19,FALSE)</f>
        <v>8061.953</v>
      </c>
      <c r="T56" s="92">
        <f>VLOOKUP(22,$A$4:$AX$32,20,FALSE)</f>
        <v>7845.321</v>
      </c>
      <c r="U56" s="92">
        <f>VLOOKUP(22,$A$4:$AX$32,21,FALSE)</f>
        <v>7548.5805</v>
      </c>
      <c r="V56" s="92">
        <f>VLOOKUP(22,$A$4:$AX$32,22,FALSE)</f>
        <v>7256.8095</v>
      </c>
    </row>
    <row r="57" spans="1:22" ht="25.5">
      <c r="A57">
        <v>23</v>
      </c>
      <c r="B57" s="77" t="s">
        <v>65</v>
      </c>
      <c r="C57" s="92">
        <f>VLOOKUP(23,$A$4:$AX$32,3,FALSE)</f>
        <v>704.674</v>
      </c>
      <c r="D57" s="92">
        <f>VLOOKUP(23,$A$4:$AX$32,4,FALSE)</f>
        <v>709.6995</v>
      </c>
      <c r="E57" s="92">
        <f>VLOOKUP(23,$A$4:$AX$32,5,FALSE)</f>
        <v>730.5605</v>
      </c>
      <c r="F57" s="92">
        <f>VLOOKUP(23,$A$4:$AX$32,6,FALSE)</f>
        <v>729.169</v>
      </c>
      <c r="G57" s="92">
        <f>VLOOKUP(23,$A$4:$AX$32,7,FALSE)</f>
        <v>741.152</v>
      </c>
      <c r="H57" s="92">
        <f>VLOOKUP(23,$A$4:$AX$32,8,FALSE)</f>
        <v>751.847</v>
      </c>
      <c r="I57" s="92">
        <f>VLOOKUP(23,$A$4:$AX$32,9,FALSE)</f>
        <v>747.2585</v>
      </c>
      <c r="J57" s="92">
        <f>VLOOKUP(23,$A$4:$AX$32,10,FALSE)</f>
        <v>749.6045</v>
      </c>
      <c r="K57" s="92">
        <f>VLOOKUP(23,$A$4:$AX$32,11,FALSE)</f>
        <v>751.4215</v>
      </c>
      <c r="L57" s="92">
        <f>VLOOKUP(23,$A$4:$AX$32,12,FALSE)</f>
        <v>750.122</v>
      </c>
      <c r="M57" s="92">
        <f>VLOOKUP(23,$A$4:$AX$32,13,FALSE)</f>
        <v>735.54</v>
      </c>
      <c r="N57" s="92">
        <f>VLOOKUP(23,$A$4:$AX$32,14,FALSE)</f>
        <v>723.051</v>
      </c>
      <c r="O57" s="92">
        <f>VLOOKUP(23,$A$4:$AX$32,15,FALSE)</f>
        <v>708.446</v>
      </c>
      <c r="P57" s="92">
        <f>VLOOKUP(23,$A$4:$AX$32,16,FALSE)</f>
        <v>703.386</v>
      </c>
      <c r="Q57" s="92">
        <f>VLOOKUP(23,$A$4:$AX$32,17,FALSE)</f>
        <v>698.073</v>
      </c>
      <c r="R57" s="92">
        <f>VLOOKUP(23,$A$4:$AX$32,18,FALSE)</f>
        <v>697.9235</v>
      </c>
      <c r="S57" s="92">
        <f>VLOOKUP(23,$A$4:$AX$32,19,FALSE)</f>
        <v>697.3025</v>
      </c>
      <c r="T57" s="92">
        <f>VLOOKUP(23,$A$4:$AX$32,20,FALSE)</f>
        <v>675.8665</v>
      </c>
      <c r="U57" s="92">
        <f>VLOOKUP(23,$A$4:$AX$32,21,FALSE)</f>
        <v>669.507</v>
      </c>
      <c r="V57" s="92">
        <f>VLOOKUP(23,$A$4:$AX$32,22,FALSE)</f>
        <v>664.516</v>
      </c>
    </row>
    <row r="58" spans="1:22" ht="25.5">
      <c r="A58">
        <v>24</v>
      </c>
      <c r="B58" s="77" t="s">
        <v>66</v>
      </c>
      <c r="C58" s="92">
        <f>VLOOKUP(24,$A$4:$AX$32,3,FALSE)</f>
        <v>894.887</v>
      </c>
      <c r="D58" s="92">
        <f>VLOOKUP(24,$A$4:$AX$32,4,FALSE)</f>
        <v>901.747</v>
      </c>
      <c r="E58" s="92">
        <f>VLOOKUP(24,$A$4:$AX$32,5,FALSE)</f>
        <v>896.945</v>
      </c>
      <c r="F58" s="92">
        <f>VLOOKUP(24,$A$4:$AX$32,6,FALSE)</f>
        <v>890.085</v>
      </c>
      <c r="G58" s="92">
        <f>VLOOKUP(24,$A$4:$AX$32,7,FALSE)</f>
        <v>910.665</v>
      </c>
      <c r="H58" s="92">
        <f>VLOOKUP(24,$A$4:$AX$32,8,FALSE)</f>
        <v>924.385</v>
      </c>
      <c r="I58" s="92">
        <f>VLOOKUP(24,$A$4:$AX$32,9,FALSE)</f>
        <v>924.042</v>
      </c>
      <c r="J58" s="92">
        <f>VLOOKUP(24,$A$4:$AX$32,10,FALSE)</f>
        <v>971.719</v>
      </c>
      <c r="K58" s="92">
        <f>VLOOKUP(24,$A$4:$AX$32,11,FALSE)</f>
        <v>978.579</v>
      </c>
      <c r="L58" s="92">
        <f>VLOOKUP(24,$A$4:$AX$32,12,FALSE)</f>
        <v>967.26</v>
      </c>
      <c r="M58" s="92">
        <f>VLOOKUP(24,$A$4:$AX$32,13,FALSE)</f>
        <v>933.646</v>
      </c>
      <c r="N58" s="92">
        <f>VLOOKUP(24,$A$4:$AX$32,14,FALSE)</f>
        <v>913.409</v>
      </c>
      <c r="O58" s="92">
        <f>VLOOKUP(24,$A$4:$AX$32,15,FALSE)</f>
        <v>900.032</v>
      </c>
      <c r="P58" s="92">
        <f>VLOOKUP(24,$A$4:$AX$32,16,FALSE)</f>
        <v>861.959</v>
      </c>
      <c r="Q58" s="92">
        <f>VLOOKUP(24,$A$4:$AX$32,17,FALSE)</f>
        <v>832.804</v>
      </c>
      <c r="R58" s="92">
        <f>VLOOKUP(24,$A$4:$AX$32,18,FALSE)</f>
        <v>792.33</v>
      </c>
      <c r="S58" s="92">
        <f>VLOOKUP(24,$A$4:$AX$32,19,FALSE)</f>
        <v>762.832</v>
      </c>
      <c r="T58" s="92">
        <f>VLOOKUP(24,$A$4:$AX$32,20,FALSE)</f>
        <v>717.556</v>
      </c>
      <c r="U58" s="92">
        <f>VLOOKUP(24,$A$4:$AX$32,21,FALSE)</f>
        <v>686.343</v>
      </c>
      <c r="V58" s="92">
        <f>VLOOKUP(24,$A$4:$AX$32,22,FALSE)</f>
        <v>656.845</v>
      </c>
    </row>
    <row r="59" spans="1:22" ht="25.5">
      <c r="A59">
        <v>25</v>
      </c>
      <c r="B59" s="77" t="s">
        <v>67</v>
      </c>
      <c r="C59" s="92">
        <f>VLOOKUP(25,$A$4:$AX$32,3,FALSE)</f>
        <v>0</v>
      </c>
      <c r="D59" s="92">
        <f>VLOOKUP(25,$A$4:$AX$32,4,FALSE)</f>
        <v>0</v>
      </c>
      <c r="E59" s="92">
        <f>VLOOKUP(25,$A$4:$AX$32,5,FALSE)</f>
        <v>0</v>
      </c>
      <c r="F59" s="92">
        <f>VLOOKUP(25,$A$4:$AX$32,6,FALSE)</f>
        <v>0</v>
      </c>
      <c r="G59" s="92">
        <f>VLOOKUP(25,$A$4:$AX$32,7,FALSE)</f>
        <v>0</v>
      </c>
      <c r="H59" s="92">
        <f>VLOOKUP(25,$A$4:$AX$32,8,FALSE)</f>
        <v>0</v>
      </c>
      <c r="I59" s="92">
        <f>VLOOKUP(25,$A$4:$AX$32,9,FALSE)</f>
        <v>0</v>
      </c>
      <c r="J59" s="92">
        <f>VLOOKUP(25,$A$4:$AX$32,10,FALSE)</f>
        <v>0</v>
      </c>
      <c r="K59" s="92">
        <f>VLOOKUP(25,$A$4:$AX$32,11,FALSE)</f>
        <v>0</v>
      </c>
      <c r="L59" s="92">
        <f>VLOOKUP(25,$A$4:$AX$32,12,FALSE)</f>
        <v>103.359</v>
      </c>
      <c r="M59" s="92">
        <f>VLOOKUP(25,$A$4:$AX$32,13,FALSE)</f>
        <v>613.842</v>
      </c>
      <c r="N59" s="92">
        <f>VLOOKUP(25,$A$4:$AX$32,14,FALSE)</f>
        <v>1459.65</v>
      </c>
      <c r="O59" s="92">
        <f>VLOOKUP(25,$A$4:$AX$32,15,FALSE)</f>
        <v>2703.903</v>
      </c>
      <c r="P59" s="92">
        <f>VLOOKUP(25,$A$4:$AX$32,16,FALSE)</f>
        <v>4252.71</v>
      </c>
      <c r="Q59" s="92">
        <f>VLOOKUP(25,$A$4:$AX$32,17,FALSE)</f>
        <v>6093.0525</v>
      </c>
      <c r="R59" s="92">
        <f>VLOOKUP(25,$A$4:$AX$32,18,FALSE)</f>
        <v>7627.263</v>
      </c>
      <c r="S59" s="92">
        <f>VLOOKUP(25,$A$4:$AX$32,19,FALSE)</f>
        <v>9648.2865</v>
      </c>
      <c r="T59" s="92">
        <f>VLOOKUP(25,$A$4:$AX$32,20,FALSE)</f>
        <v>11836.9725</v>
      </c>
      <c r="U59" s="92">
        <f>VLOOKUP(25,$A$4:$AX$32,21,FALSE)</f>
        <v>13708.875</v>
      </c>
      <c r="V59" s="92">
        <f>VLOOKUP(25,$A$4:$AX$32,22,FALSE)</f>
        <v>16100.7285</v>
      </c>
    </row>
    <row r="60" spans="1:22" ht="25.5">
      <c r="A60">
        <v>26</v>
      </c>
      <c r="B60" s="77" t="s">
        <v>68</v>
      </c>
      <c r="C60" s="92">
        <f>VLOOKUP(26,$A$4:$AX$32,3,FALSE)</f>
        <v>124183.298</v>
      </c>
      <c r="D60" s="92">
        <f>VLOOKUP(26,$A$4:$AX$32,4,FALSE)</f>
        <v>124500.899</v>
      </c>
      <c r="E60" s="92">
        <f>VLOOKUP(26,$A$4:$AX$32,5,FALSE)</f>
        <v>125590.937</v>
      </c>
      <c r="F60" s="92">
        <f>VLOOKUP(26,$A$4:$AX$32,6,FALSE)</f>
        <v>125745.163</v>
      </c>
      <c r="G60" s="92">
        <f>VLOOKUP(26,$A$4:$AX$32,7,FALSE)</f>
        <v>125875.863</v>
      </c>
      <c r="H60" s="92">
        <f>VLOOKUP(26,$A$4:$AX$32,8,FALSE)</f>
        <v>126038.5845</v>
      </c>
      <c r="I60" s="92">
        <f>VLOOKUP(26,$A$4:$AX$32,9,FALSE)</f>
        <v>126039.238</v>
      </c>
      <c r="J60" s="92">
        <f>VLOOKUP(26,$A$4:$AX$32,10,FALSE)</f>
        <v>125796.136</v>
      </c>
      <c r="K60" s="92">
        <f>VLOOKUP(26,$A$4:$AX$32,11,FALSE)</f>
        <v>126371.8695</v>
      </c>
      <c r="L60" s="92">
        <f>VLOOKUP(26,$A$4:$AX$32,12,FALSE)</f>
        <v>125305.3575</v>
      </c>
      <c r="M60" s="92">
        <f>VLOOKUP(26,$A$4:$AX$32,13,FALSE)</f>
        <v>124215.3195</v>
      </c>
      <c r="N60" s="92">
        <f>VLOOKUP(26,$A$4:$AX$32,14,FALSE)</f>
        <v>123276.636</v>
      </c>
      <c r="O60" s="92">
        <f>VLOOKUP(26,$A$4:$AX$32,15,FALSE)</f>
        <v>121611.681</v>
      </c>
      <c r="P60" s="92">
        <f>VLOOKUP(26,$A$4:$AX$32,16,FALSE)</f>
        <v>118577.1565</v>
      </c>
      <c r="Q60" s="92">
        <f>VLOOKUP(26,$A$4:$AX$32,17,FALSE)</f>
        <v>115165.921</v>
      </c>
      <c r="R60" s="92">
        <f>VLOOKUP(26,$A$4:$AX$32,18,FALSE)</f>
        <v>111596.255</v>
      </c>
      <c r="S60" s="92">
        <f>VLOOKUP(26,$A$4:$AX$32,19,FALSE)</f>
        <v>107493.299</v>
      </c>
      <c r="T60" s="92">
        <f>VLOOKUP(26,$A$4:$AX$32,20,FALSE)</f>
        <v>102145.235</v>
      </c>
      <c r="U60" s="92">
        <f>VLOOKUP(26,$A$4:$AX$32,21,FALSE)</f>
        <v>96653.3885</v>
      </c>
      <c r="V60" s="92">
        <f>VLOOKUP(26,$A$4:$AX$32,22,FALSE)</f>
        <v>91802.8565</v>
      </c>
    </row>
    <row r="61" spans="1:22" ht="25.5">
      <c r="A61">
        <v>27</v>
      </c>
      <c r="B61" s="77" t="s">
        <v>69</v>
      </c>
      <c r="C61" s="92">
        <f>VLOOKUP(27,$A$4:$AX$32,3,FALSE)</f>
        <v>55836.975</v>
      </c>
      <c r="D61" s="92">
        <f>VLOOKUP(27,$A$4:$AX$32,4,FALSE)</f>
        <v>55470.1305</v>
      </c>
      <c r="E61" s="92">
        <f>VLOOKUP(27,$A$4:$AX$32,5,FALSE)</f>
        <v>55392.523</v>
      </c>
      <c r="F61" s="92">
        <f>VLOOKUP(27,$A$4:$AX$32,6,FALSE)</f>
        <v>55257.912</v>
      </c>
      <c r="G61" s="92">
        <f>VLOOKUP(27,$A$4:$AX$32,7,FALSE)</f>
        <v>55290.8145</v>
      </c>
      <c r="H61" s="92">
        <f>VLOOKUP(27,$A$4:$AX$32,8,FALSE)</f>
        <v>54922.0145</v>
      </c>
      <c r="I61" s="92">
        <f>VLOOKUP(27,$A$4:$AX$32,9,FALSE)</f>
        <v>54901.8905</v>
      </c>
      <c r="J61" s="92">
        <f>VLOOKUP(27,$A$4:$AX$32,10,FALSE)</f>
        <v>54895.8455</v>
      </c>
      <c r="K61" s="92">
        <f>VLOOKUP(27,$A$4:$AX$32,11,FALSE)</f>
        <v>55021.01</v>
      </c>
      <c r="L61" s="92">
        <f>VLOOKUP(27,$A$4:$AX$32,12,FALSE)</f>
        <v>54369.4475</v>
      </c>
      <c r="M61" s="92">
        <f>VLOOKUP(27,$A$4:$AX$32,13,FALSE)</f>
        <v>53931.396</v>
      </c>
      <c r="N61" s="92">
        <f>VLOOKUP(27,$A$4:$AX$32,14,FALSE)</f>
        <v>53610.4215</v>
      </c>
      <c r="O61" s="92">
        <f>VLOOKUP(27,$A$4:$AX$32,15,FALSE)</f>
        <v>53725.449</v>
      </c>
      <c r="P61" s="92">
        <f>VLOOKUP(27,$A$4:$AX$32,16,FALSE)</f>
        <v>53006.2125</v>
      </c>
      <c r="Q61" s="92">
        <f>VLOOKUP(27,$A$4:$AX$32,17,FALSE)</f>
        <v>52844.7395</v>
      </c>
      <c r="R61" s="92">
        <f>VLOOKUP(27,$A$4:$AX$32,18,FALSE)</f>
        <v>52248.1115</v>
      </c>
      <c r="S61" s="92">
        <f>VLOOKUP(27,$A$4:$AX$32,19,FALSE)</f>
        <v>51799.35</v>
      </c>
      <c r="T61" s="92">
        <f>VLOOKUP(27,$A$4:$AX$32,20,FALSE)</f>
        <v>51332.0755</v>
      </c>
      <c r="U61" s="92">
        <f>VLOOKUP(27,$A$4:$AX$32,21,FALSE)</f>
        <v>50494.3955</v>
      </c>
      <c r="V61" s="92">
        <f>VLOOKUP(27,$A$4:$AX$32,22,FALSE)</f>
        <v>50339.454</v>
      </c>
    </row>
    <row r="62" spans="1:22" ht="25.5">
      <c r="A62">
        <v>28</v>
      </c>
      <c r="B62" s="77" t="s">
        <v>70</v>
      </c>
      <c r="C62" s="92">
        <f>VLOOKUP(28,$A$4:$AX$32,3,FALSE)</f>
        <v>9074.8975</v>
      </c>
      <c r="D62" s="92">
        <f>VLOOKUP(28,$A$4:$AX$32,4,FALSE)</f>
        <v>9028.5555</v>
      </c>
      <c r="E62" s="92">
        <f>VLOOKUP(28,$A$4:$AX$32,5,FALSE)</f>
        <v>9150.08</v>
      </c>
      <c r="F62" s="92">
        <f>VLOOKUP(28,$A$4:$AX$32,6,FALSE)</f>
        <v>9147.122</v>
      </c>
      <c r="G62" s="92">
        <f>VLOOKUP(28,$A$4:$AX$32,7,FALSE)</f>
        <v>9119.514</v>
      </c>
      <c r="H62" s="92">
        <f>VLOOKUP(28,$A$4:$AX$32,8,FALSE)</f>
        <v>9085.497</v>
      </c>
      <c r="I62" s="92">
        <f>VLOOKUP(28,$A$4:$AX$32,9,FALSE)</f>
        <v>9019.435</v>
      </c>
      <c r="J62" s="92">
        <f>VLOOKUP(28,$A$4:$AX$32,10,FALSE)</f>
        <v>8929.4625</v>
      </c>
      <c r="K62" s="92">
        <f>VLOOKUP(28,$A$4:$AX$32,11,FALSE)</f>
        <v>8924.5325</v>
      </c>
      <c r="L62" s="92">
        <f>VLOOKUP(28,$A$4:$AX$32,12,FALSE)</f>
        <v>8778.851</v>
      </c>
      <c r="M62" s="92">
        <f>VLOOKUP(28,$A$4:$AX$32,13,FALSE)</f>
        <v>8677.0465</v>
      </c>
      <c r="N62" s="92">
        <f>VLOOKUP(28,$A$4:$AX$32,14,FALSE)</f>
        <v>8603.343</v>
      </c>
      <c r="O62" s="92">
        <f>VLOOKUP(28,$A$4:$AX$32,15,FALSE)</f>
        <v>8467.0285</v>
      </c>
      <c r="P62" s="92">
        <f>VLOOKUP(28,$A$4:$AX$32,16,FALSE)</f>
        <v>8345.011</v>
      </c>
      <c r="Q62" s="92">
        <f>VLOOKUP(28,$A$4:$AX$32,17,FALSE)</f>
        <v>8128.091</v>
      </c>
      <c r="R62" s="92">
        <f>VLOOKUP(28,$A$4:$AX$32,18,FALSE)</f>
        <v>7952.583</v>
      </c>
      <c r="S62" s="92">
        <f>VLOOKUP(28,$A$4:$AX$32,19,FALSE)</f>
        <v>7944.4485</v>
      </c>
      <c r="T62" s="92">
        <f>VLOOKUP(28,$A$4:$AX$32,20,FALSE)</f>
        <v>7722.352</v>
      </c>
      <c r="U62" s="92">
        <f>VLOOKUP(28,$A$4:$AX$32,21,FALSE)</f>
        <v>7600.581</v>
      </c>
      <c r="V62" s="92">
        <f>VLOOKUP(28,$A$4:$AX$32,22,FALSE)</f>
        <v>7491.8745</v>
      </c>
    </row>
    <row r="63" spans="1:22" ht="12.75">
      <c r="A63">
        <v>29</v>
      </c>
      <c r="B63" s="77" t="s">
        <v>71</v>
      </c>
      <c r="C63" s="92">
        <f>VLOOKUP(29,$A$4:$AX$32,3,FALSE)</f>
        <v>0</v>
      </c>
      <c r="D63" s="92">
        <f>VLOOKUP(29,$A$4:$AX$32,4,FALSE)</f>
        <v>0</v>
      </c>
      <c r="E63" s="92">
        <f>VLOOKUP(29,$A$4:$AX$32,5,FALSE)</f>
        <v>0</v>
      </c>
      <c r="F63" s="92">
        <f>VLOOKUP(29,$A$4:$AX$32,6,FALSE)</f>
        <v>0</v>
      </c>
      <c r="G63" s="92">
        <f>VLOOKUP(29,$A$4:$AX$32,7,FALSE)</f>
        <v>0</v>
      </c>
      <c r="H63" s="92">
        <f>VLOOKUP(29,$A$4:$AX$32,8,FALSE)</f>
        <v>0</v>
      </c>
      <c r="I63" s="92">
        <f>VLOOKUP(29,$A$4:$AX$32,9,FALSE)</f>
        <v>0</v>
      </c>
      <c r="J63" s="92">
        <f>VLOOKUP(29,$A$4:$AX$32,10,FALSE)</f>
        <v>0</v>
      </c>
      <c r="K63" s="92">
        <f>VLOOKUP(29,$A$4:$AX$32,11,FALSE)</f>
        <v>0</v>
      </c>
      <c r="L63" s="92">
        <f>VLOOKUP(29,$A$4:$AX$32,12,FALSE)</f>
        <v>0</v>
      </c>
      <c r="M63" s="92">
        <f>VLOOKUP(29,$A$4:$AX$32,13,FALSE)</f>
        <v>0</v>
      </c>
      <c r="N63" s="92">
        <f>VLOOKUP(29,$A$4:$AX$32,14,FALSE)</f>
        <v>0</v>
      </c>
      <c r="O63" s="92">
        <f>VLOOKUP(29,$A$4:$AX$32,15,FALSE)</f>
        <v>0</v>
      </c>
      <c r="P63" s="92">
        <f>VLOOKUP(29,$A$4:$AX$32,16,FALSE)</f>
        <v>0</v>
      </c>
      <c r="Q63" s="92">
        <f>VLOOKUP(29,$A$4:$AX$32,17,FALSE)</f>
        <v>0</v>
      </c>
      <c r="R63" s="92">
        <f>VLOOKUP(29,$A$4:$AX$32,18,FALSE)</f>
        <v>0</v>
      </c>
      <c r="S63" s="92">
        <f>VLOOKUP(29,$A$4:$AX$32,19,FALSE)</f>
        <v>0</v>
      </c>
      <c r="T63" s="92">
        <f>VLOOKUP(29,$A$4:$AX$32,20,FALSE)</f>
        <v>0</v>
      </c>
      <c r="U63" s="92">
        <f>VLOOKUP(29,$A$4:$AX$32,21,FALSE)</f>
        <v>0</v>
      </c>
      <c r="V63" s="92">
        <f>VLOOKUP(29,$A$4:$AX$32,22,FALSE)</f>
        <v>88.457</v>
      </c>
    </row>
    <row r="64" spans="2:22" ht="12.75">
      <c r="B64" s="44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</row>
    <row r="65" spans="2:22" ht="13.5" thickBot="1">
      <c r="B65" s="9" t="s">
        <v>0</v>
      </c>
      <c r="C65" s="12">
        <v>38504</v>
      </c>
      <c r="D65" s="12">
        <v>38534</v>
      </c>
      <c r="E65" s="12">
        <v>38565</v>
      </c>
      <c r="F65" s="12">
        <v>38596</v>
      </c>
      <c r="G65" s="12">
        <v>38626</v>
      </c>
      <c r="H65" s="12">
        <v>38657</v>
      </c>
      <c r="I65" s="12">
        <v>38687</v>
      </c>
      <c r="J65" s="12">
        <v>38718</v>
      </c>
      <c r="K65" s="12">
        <v>38749</v>
      </c>
      <c r="L65" s="12">
        <v>38777</v>
      </c>
      <c r="M65" s="12">
        <v>38808</v>
      </c>
      <c r="N65" s="12">
        <v>38838</v>
      </c>
      <c r="O65" s="12">
        <v>38869</v>
      </c>
      <c r="P65" s="12">
        <v>38899</v>
      </c>
      <c r="Q65" s="12">
        <v>38930</v>
      </c>
      <c r="R65" s="12">
        <v>38961</v>
      </c>
      <c r="S65" s="12">
        <v>38991</v>
      </c>
      <c r="T65" s="12">
        <v>39022</v>
      </c>
      <c r="U65" s="12">
        <v>39052</v>
      </c>
      <c r="V65" s="12">
        <v>39083</v>
      </c>
    </row>
    <row r="66" spans="2:22" ht="13.5" thickTop="1">
      <c r="B66" s="97" t="s">
        <v>1</v>
      </c>
      <c r="C66" s="100">
        <f aca="true" t="shared" si="0" ref="C66:R66">IF(ISERROR(C35),0,C35)</f>
        <v>0</v>
      </c>
      <c r="D66" s="100">
        <f t="shared" si="0"/>
        <v>0</v>
      </c>
      <c r="E66" s="100">
        <f t="shared" si="0"/>
        <v>0</v>
      </c>
      <c r="F66" s="100">
        <f t="shared" si="0"/>
        <v>0</v>
      </c>
      <c r="G66" s="100">
        <f t="shared" si="0"/>
        <v>0</v>
      </c>
      <c r="H66" s="100">
        <f t="shared" si="0"/>
        <v>0</v>
      </c>
      <c r="I66" s="100">
        <f t="shared" si="0"/>
        <v>8.28</v>
      </c>
      <c r="J66" s="100">
        <f t="shared" si="0"/>
        <v>60.03</v>
      </c>
      <c r="K66" s="100">
        <f t="shared" si="0"/>
        <v>152.766</v>
      </c>
      <c r="L66" s="100">
        <f t="shared" si="0"/>
        <v>247.572</v>
      </c>
      <c r="M66" s="100">
        <f t="shared" si="0"/>
        <v>377.982</v>
      </c>
      <c r="N66" s="100">
        <f t="shared" si="0"/>
        <v>516.672</v>
      </c>
      <c r="O66" s="100">
        <f t="shared" si="0"/>
        <v>673.992</v>
      </c>
      <c r="P66" s="100">
        <f t="shared" si="0"/>
        <v>804.402</v>
      </c>
      <c r="Q66" s="100">
        <f t="shared" si="0"/>
        <v>981.594</v>
      </c>
      <c r="R66" s="100">
        <f t="shared" si="0"/>
        <v>1201.842</v>
      </c>
      <c r="S66" s="100">
        <f aca="true" t="shared" si="1" ref="D66:V78">IF(ISERROR(S35),0,S35)</f>
        <v>1492.884</v>
      </c>
      <c r="T66" s="100">
        <f t="shared" si="1"/>
        <v>1745.838</v>
      </c>
      <c r="U66" s="100">
        <f t="shared" si="1"/>
        <v>1952.424</v>
      </c>
      <c r="V66" s="100">
        <f t="shared" si="1"/>
        <v>2142.864</v>
      </c>
    </row>
    <row r="67" spans="2:22" ht="12.75">
      <c r="B67" s="99" t="s">
        <v>2</v>
      </c>
      <c r="C67" s="100">
        <f aca="true" t="shared" si="2" ref="C67:C94">IF(ISERROR(C36),0,C36)</f>
        <v>312238.917</v>
      </c>
      <c r="D67" s="100">
        <f t="shared" si="1"/>
        <v>307578.327</v>
      </c>
      <c r="E67" s="100">
        <f t="shared" si="1"/>
        <v>305902.652</v>
      </c>
      <c r="F67" s="100">
        <f t="shared" si="1"/>
        <v>302921.1045</v>
      </c>
      <c r="G67" s="100">
        <f t="shared" si="1"/>
        <v>299900.825</v>
      </c>
      <c r="H67" s="100">
        <f t="shared" si="1"/>
        <v>297260.841</v>
      </c>
      <c r="I67" s="100">
        <f t="shared" si="1"/>
        <v>294174.707</v>
      </c>
      <c r="J67" s="100">
        <f t="shared" si="1"/>
        <v>290054.2925</v>
      </c>
      <c r="K67" s="100">
        <f t="shared" si="1"/>
        <v>288823.697</v>
      </c>
      <c r="L67" s="100">
        <f t="shared" si="1"/>
        <v>281253.706</v>
      </c>
      <c r="M67" s="100">
        <f t="shared" si="1"/>
        <v>275154.866</v>
      </c>
      <c r="N67" s="100">
        <f t="shared" si="1"/>
        <v>270081.8855</v>
      </c>
      <c r="O67" s="100">
        <f t="shared" si="1"/>
        <v>267395.2855</v>
      </c>
      <c r="P67" s="100">
        <f t="shared" si="1"/>
        <v>265506.434</v>
      </c>
      <c r="Q67" s="100">
        <f t="shared" si="1"/>
        <v>262342.1995</v>
      </c>
      <c r="R67" s="100">
        <f t="shared" si="1"/>
        <v>258645.6335</v>
      </c>
      <c r="S67" s="100">
        <f t="shared" si="1"/>
        <v>258227.334</v>
      </c>
      <c r="T67" s="100">
        <f t="shared" si="1"/>
        <v>255123.144</v>
      </c>
      <c r="U67" s="100">
        <f t="shared" si="1"/>
        <v>250525.493</v>
      </c>
      <c r="V67" s="100">
        <f t="shared" si="1"/>
        <v>250591.3655</v>
      </c>
    </row>
    <row r="68" spans="2:22" ht="12.75">
      <c r="B68" s="99" t="s">
        <v>3</v>
      </c>
      <c r="C68" s="100">
        <f t="shared" si="2"/>
        <v>108201.636</v>
      </c>
      <c r="D68" s="100">
        <f t="shared" si="1"/>
        <v>108216.22</v>
      </c>
      <c r="E68" s="100">
        <f t="shared" si="1"/>
        <v>109288.3405</v>
      </c>
      <c r="F68" s="100">
        <f t="shared" si="1"/>
        <v>108766.437</v>
      </c>
      <c r="G68" s="100">
        <f t="shared" si="1"/>
        <v>108852.775</v>
      </c>
      <c r="H68" s="100">
        <f t="shared" si="1"/>
        <v>108427.3375</v>
      </c>
      <c r="I68" s="100">
        <f t="shared" si="1"/>
        <v>107916.9125</v>
      </c>
      <c r="J68" s="100">
        <f t="shared" si="1"/>
        <v>107437.5875</v>
      </c>
      <c r="K68" s="100">
        <f t="shared" si="1"/>
        <v>106710.6125</v>
      </c>
      <c r="L68" s="100">
        <f t="shared" si="1"/>
        <v>104568.575</v>
      </c>
      <c r="M68" s="100">
        <f t="shared" si="1"/>
        <v>101970.7875</v>
      </c>
      <c r="N68" s="100">
        <f t="shared" si="1"/>
        <v>101239.0125</v>
      </c>
      <c r="O68" s="100">
        <f t="shared" si="1"/>
        <v>100854.8125</v>
      </c>
      <c r="P68" s="100">
        <f t="shared" si="1"/>
        <v>100320.4625</v>
      </c>
      <c r="Q68" s="100">
        <f t="shared" si="1"/>
        <v>99674.225</v>
      </c>
      <c r="R68" s="100">
        <f t="shared" si="1"/>
        <v>99049.85</v>
      </c>
      <c r="S68" s="100">
        <f t="shared" si="1"/>
        <v>99153.2125</v>
      </c>
      <c r="T68" s="100">
        <f t="shared" si="1"/>
        <v>98579.9625</v>
      </c>
      <c r="U68" s="100">
        <f t="shared" si="1"/>
        <v>97524.725</v>
      </c>
      <c r="V68" s="100">
        <f t="shared" si="1"/>
        <v>97294.725</v>
      </c>
    </row>
    <row r="69" spans="2:22" ht="12.75">
      <c r="B69" s="99" t="s">
        <v>42</v>
      </c>
      <c r="C69" s="100">
        <f t="shared" si="2"/>
        <v>0</v>
      </c>
      <c r="D69" s="100">
        <f t="shared" si="1"/>
        <v>0</v>
      </c>
      <c r="E69" s="100">
        <f t="shared" si="1"/>
        <v>0</v>
      </c>
      <c r="F69" s="100">
        <f t="shared" si="1"/>
        <v>0</v>
      </c>
      <c r="G69" s="100">
        <f t="shared" si="1"/>
        <v>0</v>
      </c>
      <c r="H69" s="100">
        <f t="shared" si="1"/>
        <v>0</v>
      </c>
      <c r="I69" s="100">
        <f t="shared" si="1"/>
        <v>0</v>
      </c>
      <c r="J69" s="100">
        <f t="shared" si="1"/>
        <v>0</v>
      </c>
      <c r="K69" s="100">
        <f t="shared" si="1"/>
        <v>0</v>
      </c>
      <c r="L69" s="100">
        <f t="shared" si="1"/>
        <v>0</v>
      </c>
      <c r="M69" s="100">
        <f t="shared" si="1"/>
        <v>0</v>
      </c>
      <c r="N69" s="100">
        <f t="shared" si="1"/>
        <v>0</v>
      </c>
      <c r="O69" s="100">
        <f t="shared" si="1"/>
        <v>0</v>
      </c>
      <c r="P69" s="100">
        <f t="shared" si="1"/>
        <v>0</v>
      </c>
      <c r="Q69" s="100">
        <f t="shared" si="1"/>
        <v>0</v>
      </c>
      <c r="R69" s="100">
        <f t="shared" si="1"/>
        <v>7.189</v>
      </c>
      <c r="S69" s="100">
        <f t="shared" si="1"/>
        <v>52.6345</v>
      </c>
      <c r="T69" s="100">
        <f t="shared" si="1"/>
        <v>111.213</v>
      </c>
      <c r="U69" s="100">
        <f t="shared" si="1"/>
        <v>187.501</v>
      </c>
      <c r="V69" s="100">
        <f t="shared" si="1"/>
        <v>321.6755</v>
      </c>
    </row>
    <row r="70" spans="2:22" ht="12.75">
      <c r="B70" s="99" t="s">
        <v>4</v>
      </c>
      <c r="C70" s="100">
        <f t="shared" si="2"/>
        <v>395427.711</v>
      </c>
      <c r="D70" s="100">
        <f t="shared" si="1"/>
        <v>393730.152</v>
      </c>
      <c r="E70" s="100">
        <f t="shared" si="1"/>
        <v>394800.024</v>
      </c>
      <c r="F70" s="100">
        <f t="shared" si="1"/>
        <v>394624.2285</v>
      </c>
      <c r="G70" s="100">
        <f t="shared" si="1"/>
        <v>394067.7225</v>
      </c>
      <c r="H70" s="100">
        <f t="shared" si="1"/>
        <v>392126.4225</v>
      </c>
      <c r="I70" s="100">
        <f t="shared" si="1"/>
        <v>391658.3535</v>
      </c>
      <c r="J70" s="100">
        <f t="shared" si="1"/>
        <v>390695.253</v>
      </c>
      <c r="K70" s="100">
        <f t="shared" si="1"/>
        <v>392504.976</v>
      </c>
      <c r="L70" s="100">
        <f t="shared" si="1"/>
        <v>388116.5595</v>
      </c>
      <c r="M70" s="100">
        <f t="shared" si="1"/>
        <v>384734.3835</v>
      </c>
      <c r="N70" s="100">
        <f t="shared" si="1"/>
        <v>383218.0125</v>
      </c>
      <c r="O70" s="100">
        <f t="shared" si="1"/>
        <v>380557.353</v>
      </c>
      <c r="P70" s="100">
        <f t="shared" si="1"/>
        <v>375394.1</v>
      </c>
      <c r="Q70" s="100">
        <f t="shared" si="1"/>
        <v>371082.9465</v>
      </c>
      <c r="R70" s="100">
        <f t="shared" si="1"/>
        <v>360653.134</v>
      </c>
      <c r="S70" s="100">
        <f t="shared" si="1"/>
        <v>354323.0035</v>
      </c>
      <c r="T70" s="100">
        <f t="shared" si="1"/>
        <v>345410.3756</v>
      </c>
      <c r="U70" s="100">
        <f t="shared" si="1"/>
        <v>332899.2859</v>
      </c>
      <c r="V70" s="100">
        <f t="shared" si="1"/>
        <v>326010.9872</v>
      </c>
    </row>
    <row r="71" spans="2:22" ht="12.75">
      <c r="B71" s="99" t="s">
        <v>5</v>
      </c>
      <c r="C71" s="100">
        <f t="shared" si="2"/>
        <v>297765.083</v>
      </c>
      <c r="D71" s="100">
        <f t="shared" si="1"/>
        <v>297882.156</v>
      </c>
      <c r="E71" s="100">
        <f t="shared" si="1"/>
        <v>302185.598</v>
      </c>
      <c r="F71" s="100">
        <f t="shared" si="1"/>
        <v>305031.683</v>
      </c>
      <c r="G71" s="100">
        <f t="shared" si="1"/>
        <v>307183.404</v>
      </c>
      <c r="H71" s="100">
        <f t="shared" si="1"/>
        <v>307568.9375</v>
      </c>
      <c r="I71" s="100">
        <f t="shared" si="1"/>
        <v>309823.602</v>
      </c>
      <c r="J71" s="100">
        <f t="shared" si="1"/>
        <v>312362.875</v>
      </c>
      <c r="K71" s="100">
        <f t="shared" si="1"/>
        <v>314046.304</v>
      </c>
      <c r="L71" s="100">
        <f t="shared" si="1"/>
        <v>312019.73</v>
      </c>
      <c r="M71" s="100">
        <f t="shared" si="1"/>
        <v>310725.8715</v>
      </c>
      <c r="N71" s="100">
        <f t="shared" si="1"/>
        <v>309240.2555</v>
      </c>
      <c r="O71" s="100">
        <f t="shared" si="1"/>
        <v>308887.018</v>
      </c>
      <c r="P71" s="100">
        <f t="shared" si="1"/>
        <v>307692.3565</v>
      </c>
      <c r="Q71" s="100">
        <f t="shared" si="1"/>
        <v>304449.841</v>
      </c>
      <c r="R71" s="100">
        <f t="shared" si="1"/>
        <v>296615.873</v>
      </c>
      <c r="S71" s="100">
        <f t="shared" si="1"/>
        <v>290836.4782</v>
      </c>
      <c r="T71" s="100">
        <f t="shared" si="1"/>
        <v>284411.5641</v>
      </c>
      <c r="U71" s="100">
        <f t="shared" si="1"/>
        <v>273572.5608</v>
      </c>
      <c r="V71" s="100">
        <f t="shared" si="1"/>
        <v>267836.5793</v>
      </c>
    </row>
    <row r="72" spans="2:22" ht="12.75">
      <c r="B72" s="99" t="s">
        <v>38</v>
      </c>
      <c r="C72" s="100">
        <f t="shared" si="2"/>
        <v>0</v>
      </c>
      <c r="D72" s="100">
        <f t="shared" si="1"/>
        <v>0</v>
      </c>
      <c r="E72" s="100">
        <f t="shared" si="1"/>
        <v>0</v>
      </c>
      <c r="F72" s="100">
        <f t="shared" si="1"/>
        <v>0</v>
      </c>
      <c r="G72" s="100">
        <f t="shared" si="1"/>
        <v>0</v>
      </c>
      <c r="H72" s="100">
        <f t="shared" si="1"/>
        <v>0</v>
      </c>
      <c r="I72" s="100">
        <f t="shared" si="1"/>
        <v>0</v>
      </c>
      <c r="J72" s="100">
        <f t="shared" si="1"/>
        <v>0</v>
      </c>
      <c r="K72" s="100">
        <f t="shared" si="1"/>
        <v>0</v>
      </c>
      <c r="L72" s="100">
        <f t="shared" si="1"/>
        <v>0</v>
      </c>
      <c r="M72" s="100">
        <f t="shared" si="1"/>
        <v>0</v>
      </c>
      <c r="N72" s="100">
        <f t="shared" si="1"/>
        <v>0</v>
      </c>
      <c r="O72" s="100">
        <f t="shared" si="1"/>
        <v>232.712</v>
      </c>
      <c r="P72" s="100">
        <f t="shared" si="1"/>
        <v>881.856</v>
      </c>
      <c r="Q72" s="100">
        <f t="shared" si="1"/>
        <v>1681.038</v>
      </c>
      <c r="R72" s="100">
        <f t="shared" si="1"/>
        <v>2754.269</v>
      </c>
      <c r="S72" s="100">
        <f t="shared" si="1"/>
        <v>4666.2833</v>
      </c>
      <c r="T72" s="100">
        <f t="shared" si="1"/>
        <v>7048.3146</v>
      </c>
      <c r="U72" s="100">
        <f t="shared" si="1"/>
        <v>9479.3379</v>
      </c>
      <c r="V72" s="100">
        <f t="shared" si="1"/>
        <v>12731.9159</v>
      </c>
    </row>
    <row r="73" spans="2:22" ht="12.75">
      <c r="B73" s="99" t="s">
        <v>6</v>
      </c>
      <c r="C73" s="100">
        <f t="shared" si="2"/>
        <v>16158.782</v>
      </c>
      <c r="D73" s="100">
        <f t="shared" si="1"/>
        <v>16213.923</v>
      </c>
      <c r="E73" s="100">
        <f t="shared" si="1"/>
        <v>16553.822</v>
      </c>
      <c r="F73" s="100">
        <f t="shared" si="1"/>
        <v>16877.261</v>
      </c>
      <c r="G73" s="100">
        <f t="shared" si="1"/>
        <v>17074.781</v>
      </c>
      <c r="H73" s="100">
        <f t="shared" si="1"/>
        <v>17462.414</v>
      </c>
      <c r="I73" s="100">
        <f t="shared" si="1"/>
        <v>17575.988</v>
      </c>
      <c r="J73" s="100">
        <f t="shared" si="1"/>
        <v>17702.73</v>
      </c>
      <c r="K73" s="100">
        <f t="shared" si="1"/>
        <v>17923.294</v>
      </c>
      <c r="L73" s="100">
        <f t="shared" si="1"/>
        <v>17991.603</v>
      </c>
      <c r="M73" s="100">
        <f t="shared" si="1"/>
        <v>18282.945</v>
      </c>
      <c r="N73" s="100">
        <f t="shared" si="1"/>
        <v>18456.598</v>
      </c>
      <c r="O73" s="100">
        <f t="shared" si="1"/>
        <v>18645.065</v>
      </c>
      <c r="P73" s="100">
        <f t="shared" si="1"/>
        <v>18778.391</v>
      </c>
      <c r="Q73" s="100">
        <f t="shared" si="1"/>
        <v>18864.6847</v>
      </c>
      <c r="R73" s="100">
        <f t="shared" si="1"/>
        <v>18713.0384</v>
      </c>
      <c r="S73" s="100">
        <f t="shared" si="1"/>
        <v>18777.7661</v>
      </c>
      <c r="T73" s="100">
        <f t="shared" si="1"/>
        <v>18737.8408</v>
      </c>
      <c r="U73" s="100">
        <f t="shared" si="1"/>
        <v>18618.3512</v>
      </c>
      <c r="V73" s="100">
        <f t="shared" si="1"/>
        <v>18722.9339</v>
      </c>
    </row>
    <row r="74" spans="2:22" ht="12.75">
      <c r="B74" s="99" t="s">
        <v>7</v>
      </c>
      <c r="C74" s="100">
        <f t="shared" si="2"/>
        <v>40730.3715</v>
      </c>
      <c r="D74" s="100">
        <f t="shared" si="1"/>
        <v>41127.282</v>
      </c>
      <c r="E74" s="100">
        <f t="shared" si="1"/>
        <v>41746.9815</v>
      </c>
      <c r="F74" s="100">
        <f t="shared" si="1"/>
        <v>41772.9375</v>
      </c>
      <c r="G74" s="100">
        <f t="shared" si="1"/>
        <v>42103.8765</v>
      </c>
      <c r="H74" s="100">
        <f t="shared" si="1"/>
        <v>42293.139</v>
      </c>
      <c r="I74" s="100">
        <f t="shared" si="1"/>
        <v>42481.32</v>
      </c>
      <c r="J74" s="100">
        <f t="shared" si="1"/>
        <v>42451.038</v>
      </c>
      <c r="K74" s="100">
        <f t="shared" si="1"/>
        <v>42849.03</v>
      </c>
      <c r="L74" s="100">
        <f t="shared" si="1"/>
        <v>42744.1245</v>
      </c>
      <c r="M74" s="100">
        <f t="shared" si="1"/>
        <v>42063.861</v>
      </c>
      <c r="N74" s="100">
        <f t="shared" si="1"/>
        <v>41832.42</v>
      </c>
      <c r="O74" s="100">
        <f t="shared" si="1"/>
        <v>41673.4395</v>
      </c>
      <c r="P74" s="100">
        <f t="shared" si="1"/>
        <v>41445.243</v>
      </c>
      <c r="Q74" s="100">
        <f t="shared" si="1"/>
        <v>41209.476</v>
      </c>
      <c r="R74" s="100">
        <f t="shared" si="1"/>
        <v>41232.198</v>
      </c>
      <c r="S74" s="100">
        <f t="shared" si="1"/>
        <v>41461.848</v>
      </c>
      <c r="T74" s="100">
        <f t="shared" si="1"/>
        <v>41442.761</v>
      </c>
      <c r="U74" s="100">
        <f t="shared" si="1"/>
        <v>40940.2955</v>
      </c>
      <c r="V74" s="100">
        <f t="shared" si="1"/>
        <v>41191.488</v>
      </c>
    </row>
    <row r="75" spans="2:22" ht="12.75">
      <c r="B75" s="99" t="s">
        <v>8</v>
      </c>
      <c r="C75" s="100">
        <f t="shared" si="2"/>
        <v>89393.7</v>
      </c>
      <c r="D75" s="100">
        <f t="shared" si="1"/>
        <v>90895.44</v>
      </c>
      <c r="E75" s="100">
        <f t="shared" si="1"/>
        <v>91967.67</v>
      </c>
      <c r="F75" s="100">
        <f t="shared" si="1"/>
        <v>93129.51</v>
      </c>
      <c r="G75" s="100">
        <f t="shared" si="1"/>
        <v>94516.92</v>
      </c>
      <c r="H75" s="100">
        <f t="shared" si="1"/>
        <v>95530.44</v>
      </c>
      <c r="I75" s="100">
        <f t="shared" si="1"/>
        <v>96670.65</v>
      </c>
      <c r="J75" s="100">
        <f t="shared" si="1"/>
        <v>97381.35</v>
      </c>
      <c r="K75" s="100">
        <f t="shared" si="1"/>
        <v>99601.515</v>
      </c>
      <c r="L75" s="100">
        <f t="shared" si="1"/>
        <v>99508.815</v>
      </c>
      <c r="M75" s="100">
        <f t="shared" si="1"/>
        <v>99391.395</v>
      </c>
      <c r="N75" s="100">
        <f t="shared" si="1"/>
        <v>100075.83</v>
      </c>
      <c r="O75" s="100">
        <f t="shared" si="1"/>
        <v>101038.365</v>
      </c>
      <c r="P75" s="100">
        <f t="shared" si="1"/>
        <v>101260.845</v>
      </c>
      <c r="Q75" s="100">
        <f t="shared" si="1"/>
        <v>102188.932</v>
      </c>
      <c r="R75" s="100">
        <f t="shared" si="1"/>
        <v>102723.2716</v>
      </c>
      <c r="S75" s="100">
        <f t="shared" si="1"/>
        <v>103454.4502</v>
      </c>
      <c r="T75" s="100">
        <f t="shared" si="1"/>
        <v>103290.0151</v>
      </c>
      <c r="U75" s="100">
        <f t="shared" si="1"/>
        <v>102776.2797</v>
      </c>
      <c r="V75" s="100">
        <f t="shared" si="1"/>
        <v>103371.8758</v>
      </c>
    </row>
    <row r="76" spans="2:22" ht="12.75">
      <c r="B76" s="99" t="s">
        <v>9</v>
      </c>
      <c r="C76" s="100">
        <f t="shared" si="2"/>
        <v>294074.352</v>
      </c>
      <c r="D76" s="100">
        <f t="shared" si="1"/>
        <v>296346.336</v>
      </c>
      <c r="E76" s="100">
        <f t="shared" si="1"/>
        <v>301111.096</v>
      </c>
      <c r="F76" s="100">
        <f t="shared" si="1"/>
        <v>304622.032</v>
      </c>
      <c r="G76" s="100">
        <f t="shared" si="1"/>
        <v>308558.536</v>
      </c>
      <c r="H76" s="100">
        <f t="shared" si="1"/>
        <v>312911.456</v>
      </c>
      <c r="I76" s="100">
        <f t="shared" si="1"/>
        <v>316465.864</v>
      </c>
      <c r="J76" s="100">
        <f t="shared" si="1"/>
        <v>320657.48</v>
      </c>
      <c r="K76" s="100">
        <f t="shared" si="1"/>
        <v>326155.544</v>
      </c>
      <c r="L76" s="100">
        <f t="shared" si="1"/>
        <v>326883.128</v>
      </c>
      <c r="M76" s="100">
        <f t="shared" si="1"/>
        <v>328194.152</v>
      </c>
      <c r="N76" s="100">
        <f t="shared" si="1"/>
        <v>331201.728</v>
      </c>
      <c r="O76" s="100">
        <f t="shared" si="1"/>
        <v>335791.456</v>
      </c>
      <c r="P76" s="100">
        <f t="shared" si="1"/>
        <v>338497.016</v>
      </c>
      <c r="Q76" s="100">
        <f t="shared" si="1"/>
        <v>342244.76</v>
      </c>
      <c r="R76" s="100">
        <f t="shared" si="1"/>
        <v>344524.752</v>
      </c>
      <c r="S76" s="100">
        <f t="shared" si="1"/>
        <v>348659.0385</v>
      </c>
      <c r="T76" s="100">
        <f t="shared" si="1"/>
        <v>349306.096</v>
      </c>
      <c r="U76" s="100">
        <f t="shared" si="1"/>
        <v>343774.305</v>
      </c>
      <c r="V76" s="100">
        <f t="shared" si="1"/>
        <v>342128.129</v>
      </c>
    </row>
    <row r="77" spans="2:22" ht="12.75">
      <c r="B77" s="99" t="s">
        <v>10</v>
      </c>
      <c r="C77" s="100">
        <f t="shared" si="2"/>
        <v>196746.8265</v>
      </c>
      <c r="D77" s="100">
        <f t="shared" si="1"/>
        <v>198854.8785</v>
      </c>
      <c r="E77" s="100">
        <f t="shared" si="1"/>
        <v>202765.2345</v>
      </c>
      <c r="F77" s="100">
        <f t="shared" si="1"/>
        <v>206056.0485</v>
      </c>
      <c r="G77" s="100">
        <f t="shared" si="1"/>
        <v>207894.5595</v>
      </c>
      <c r="H77" s="100">
        <f t="shared" si="1"/>
        <v>209706.921</v>
      </c>
      <c r="I77" s="100">
        <f t="shared" si="1"/>
        <v>212253.48</v>
      </c>
      <c r="J77" s="100">
        <f t="shared" si="1"/>
        <v>214232.796</v>
      </c>
      <c r="K77" s="100">
        <f t="shared" si="1"/>
        <v>216031.077</v>
      </c>
      <c r="L77" s="100">
        <f t="shared" si="1"/>
        <v>216686.826</v>
      </c>
      <c r="M77" s="100">
        <f t="shared" si="1"/>
        <v>217803.2085</v>
      </c>
      <c r="N77" s="100">
        <f t="shared" si="1"/>
        <v>220086.261</v>
      </c>
      <c r="O77" s="100">
        <f t="shared" si="1"/>
        <v>223045.1775</v>
      </c>
      <c r="P77" s="100">
        <f t="shared" si="1"/>
        <v>225346.3335</v>
      </c>
      <c r="Q77" s="100">
        <f t="shared" si="1"/>
        <v>228677.3775</v>
      </c>
      <c r="R77" s="100">
        <f t="shared" si="1"/>
        <v>229860.1395</v>
      </c>
      <c r="S77" s="100">
        <f t="shared" si="1"/>
        <v>232931.9551</v>
      </c>
      <c r="T77" s="100">
        <f t="shared" si="1"/>
        <v>234195.5759</v>
      </c>
      <c r="U77" s="100">
        <f t="shared" si="1"/>
        <v>232761.6247</v>
      </c>
      <c r="V77" s="100">
        <f t="shared" si="1"/>
        <v>233878.2058</v>
      </c>
    </row>
    <row r="78" spans="2:22" ht="12.75">
      <c r="B78" s="99" t="s">
        <v>11</v>
      </c>
      <c r="C78" s="100">
        <f t="shared" si="2"/>
        <v>181867.608</v>
      </c>
      <c r="D78" s="100">
        <f t="shared" si="1"/>
        <v>182543.062</v>
      </c>
      <c r="E78" s="100">
        <f t="shared" si="1"/>
        <v>185454.204</v>
      </c>
      <c r="F78" s="100">
        <f t="shared" si="1"/>
        <v>185704.532</v>
      </c>
      <c r="G78" s="100">
        <f t="shared" si="1"/>
        <v>188074.016</v>
      </c>
      <c r="H78" s="100">
        <f t="shared" si="1"/>
        <v>189403.344</v>
      </c>
      <c r="I78" s="100">
        <f t="shared" si="1"/>
        <v>191114.638</v>
      </c>
      <c r="J78" s="100">
        <f t="shared" si="1"/>
        <v>192273.484</v>
      </c>
      <c r="K78" s="100">
        <f t="shared" si="1"/>
        <v>195279.578</v>
      </c>
      <c r="L78" s="100">
        <f t="shared" si="1"/>
        <v>193563.968</v>
      </c>
      <c r="M78" s="100">
        <f t="shared" si="1"/>
        <v>193451.752</v>
      </c>
      <c r="N78" s="100">
        <f t="shared" si="1"/>
        <v>194517.804</v>
      </c>
      <c r="O78" s="100">
        <f t="shared" si="1"/>
        <v>196168.674</v>
      </c>
      <c r="P78" s="100">
        <f t="shared" si="1"/>
        <v>196384.474</v>
      </c>
      <c r="Q78" s="100">
        <f t="shared" si="1"/>
        <v>195898.924</v>
      </c>
      <c r="R78" s="100">
        <f t="shared" si="1"/>
        <v>194981.774</v>
      </c>
      <c r="S78" s="100">
        <f t="shared" si="1"/>
        <v>194018.9539</v>
      </c>
      <c r="T78" s="100">
        <f t="shared" si="1"/>
        <v>192459.6719</v>
      </c>
      <c r="U78" s="100">
        <f t="shared" si="1"/>
        <v>190700.4142</v>
      </c>
      <c r="V78" s="100">
        <f aca="true" t="shared" si="3" ref="D78:V90">IF(ISERROR(V47),0,V47)</f>
        <v>192361.5273</v>
      </c>
    </row>
    <row r="79" spans="2:22" ht="12.75">
      <c r="B79" s="99" t="s">
        <v>12</v>
      </c>
      <c r="C79" s="100">
        <f t="shared" si="2"/>
        <v>12678.25</v>
      </c>
      <c r="D79" s="100">
        <f t="shared" si="3"/>
        <v>13463.762</v>
      </c>
      <c r="E79" s="100">
        <f t="shared" si="3"/>
        <v>14363.648</v>
      </c>
      <c r="F79" s="100">
        <f t="shared" si="3"/>
        <v>15179.372</v>
      </c>
      <c r="G79" s="100">
        <f t="shared" si="3"/>
        <v>15869.932</v>
      </c>
      <c r="H79" s="100">
        <f t="shared" si="3"/>
        <v>17058.99</v>
      </c>
      <c r="I79" s="100">
        <f t="shared" si="3"/>
        <v>18058.144</v>
      </c>
      <c r="J79" s="100">
        <f t="shared" si="3"/>
        <v>18744.388</v>
      </c>
      <c r="K79" s="100">
        <f t="shared" si="3"/>
        <v>19976.606</v>
      </c>
      <c r="L79" s="100">
        <f t="shared" si="3"/>
        <v>21668.478</v>
      </c>
      <c r="M79" s="100">
        <f t="shared" si="3"/>
        <v>22659</v>
      </c>
      <c r="N79" s="100">
        <f t="shared" si="3"/>
        <v>24160.968</v>
      </c>
      <c r="O79" s="100">
        <f t="shared" si="3"/>
        <v>25425.556</v>
      </c>
      <c r="P79" s="100">
        <f t="shared" si="3"/>
        <v>26944.788</v>
      </c>
      <c r="Q79" s="100">
        <f t="shared" si="3"/>
        <v>28567.604</v>
      </c>
      <c r="R79" s="100">
        <f t="shared" si="3"/>
        <v>29687.606</v>
      </c>
      <c r="S79" s="100">
        <f t="shared" si="3"/>
        <v>31448.534</v>
      </c>
      <c r="T79" s="100">
        <f t="shared" si="3"/>
        <v>32539.9382</v>
      </c>
      <c r="U79" s="100">
        <f t="shared" si="3"/>
        <v>32748.7204</v>
      </c>
      <c r="V79" s="100">
        <f t="shared" si="3"/>
        <v>34042.1399</v>
      </c>
    </row>
    <row r="80" spans="2:22" ht="12.75">
      <c r="B80" s="99" t="s">
        <v>13</v>
      </c>
      <c r="C80" s="100">
        <f t="shared" si="2"/>
        <v>0</v>
      </c>
      <c r="D80" s="100">
        <f t="shared" si="3"/>
        <v>0</v>
      </c>
      <c r="E80" s="100">
        <f t="shared" si="3"/>
        <v>0</v>
      </c>
      <c r="F80" s="100">
        <f t="shared" si="3"/>
        <v>0</v>
      </c>
      <c r="G80" s="100">
        <f t="shared" si="3"/>
        <v>0</v>
      </c>
      <c r="H80" s="100">
        <f t="shared" si="3"/>
        <v>0</v>
      </c>
      <c r="I80" s="100">
        <f t="shared" si="3"/>
        <v>0</v>
      </c>
      <c r="J80" s="100">
        <f t="shared" si="3"/>
        <v>0</v>
      </c>
      <c r="K80" s="100">
        <f t="shared" si="3"/>
        <v>605.727</v>
      </c>
      <c r="L80" s="100">
        <f t="shared" si="3"/>
        <v>2249.304</v>
      </c>
      <c r="M80" s="100">
        <f t="shared" si="3"/>
        <v>4267.4505</v>
      </c>
      <c r="N80" s="100">
        <f t="shared" si="3"/>
        <v>7417.797</v>
      </c>
      <c r="O80" s="100">
        <f t="shared" si="3"/>
        <v>11787.1455</v>
      </c>
      <c r="P80" s="100">
        <f t="shared" si="3"/>
        <v>16289.8208</v>
      </c>
      <c r="Q80" s="100">
        <f t="shared" si="3"/>
        <v>21279.3421</v>
      </c>
      <c r="R80" s="100">
        <f t="shared" si="3"/>
        <v>27290.2769</v>
      </c>
      <c r="S80" s="100">
        <f t="shared" si="3"/>
        <v>34108.3935</v>
      </c>
      <c r="T80" s="100">
        <f t="shared" si="3"/>
        <v>41290.5806</v>
      </c>
      <c r="U80" s="100">
        <f t="shared" si="3"/>
        <v>48396.5974</v>
      </c>
      <c r="V80" s="100">
        <f t="shared" si="3"/>
        <v>56745.906</v>
      </c>
    </row>
    <row r="81" spans="2:22" ht="12.75">
      <c r="B81" s="99" t="s">
        <v>14</v>
      </c>
      <c r="C81" s="100">
        <f t="shared" si="2"/>
        <v>77100.1875</v>
      </c>
      <c r="D81" s="100">
        <f t="shared" si="3"/>
        <v>79956.36</v>
      </c>
      <c r="E81" s="100">
        <f t="shared" si="3"/>
        <v>83755.44</v>
      </c>
      <c r="F81" s="100">
        <f t="shared" si="3"/>
        <v>87387.075</v>
      </c>
      <c r="G81" s="100">
        <f t="shared" si="3"/>
        <v>91411.245</v>
      </c>
      <c r="H81" s="100">
        <f t="shared" si="3"/>
        <v>95521.8825</v>
      </c>
      <c r="I81" s="100">
        <f t="shared" si="3"/>
        <v>99581.7375</v>
      </c>
      <c r="J81" s="100">
        <f t="shared" si="3"/>
        <v>102536.73</v>
      </c>
      <c r="K81" s="100">
        <f t="shared" si="3"/>
        <v>106834.0275</v>
      </c>
      <c r="L81" s="100">
        <f t="shared" si="3"/>
        <v>109686.0825</v>
      </c>
      <c r="M81" s="100">
        <f t="shared" si="3"/>
        <v>112343.2425</v>
      </c>
      <c r="N81" s="100">
        <f t="shared" si="3"/>
        <v>115438.23</v>
      </c>
      <c r="O81" s="100">
        <f t="shared" si="3"/>
        <v>119013.5925</v>
      </c>
      <c r="P81" s="100">
        <f t="shared" si="3"/>
        <v>122561.505</v>
      </c>
      <c r="Q81" s="100">
        <f t="shared" si="3"/>
        <v>125896.68</v>
      </c>
      <c r="R81" s="100">
        <f t="shared" si="3"/>
        <v>128411.1</v>
      </c>
      <c r="S81" s="100">
        <f t="shared" si="3"/>
        <v>130583.7675</v>
      </c>
      <c r="T81" s="100">
        <f t="shared" si="3"/>
        <v>132260.9625</v>
      </c>
      <c r="U81" s="100">
        <f t="shared" si="3"/>
        <v>132801.7275</v>
      </c>
      <c r="V81" s="100">
        <f t="shared" si="3"/>
        <v>135446.535</v>
      </c>
    </row>
    <row r="82" spans="2:22" ht="12.75">
      <c r="B82" s="99" t="s">
        <v>15</v>
      </c>
      <c r="C82" s="100">
        <f t="shared" si="2"/>
        <v>13045.389</v>
      </c>
      <c r="D82" s="100">
        <f t="shared" si="3"/>
        <v>13702.53</v>
      </c>
      <c r="E82" s="100">
        <f t="shared" si="3"/>
        <v>14813.658</v>
      </c>
      <c r="F82" s="100">
        <f t="shared" si="3"/>
        <v>15866.742</v>
      </c>
      <c r="G82" s="100">
        <f t="shared" si="3"/>
        <v>16509.372</v>
      </c>
      <c r="H82" s="100">
        <f t="shared" si="3"/>
        <v>17247.36</v>
      </c>
      <c r="I82" s="100">
        <f t="shared" si="3"/>
        <v>17794.632</v>
      </c>
      <c r="J82" s="100">
        <f t="shared" si="3"/>
        <v>18368.853</v>
      </c>
      <c r="K82" s="100">
        <f t="shared" si="3"/>
        <v>18961.731</v>
      </c>
      <c r="L82" s="100">
        <f t="shared" si="3"/>
        <v>19880.07</v>
      </c>
      <c r="M82" s="100">
        <f t="shared" si="3"/>
        <v>20798.409</v>
      </c>
      <c r="N82" s="100">
        <f t="shared" si="3"/>
        <v>21855.639</v>
      </c>
      <c r="O82" s="100">
        <f t="shared" si="3"/>
        <v>22898.358</v>
      </c>
      <c r="P82" s="100">
        <f t="shared" si="3"/>
        <v>23698.536</v>
      </c>
      <c r="Q82" s="100">
        <f t="shared" si="3"/>
        <v>24017.778</v>
      </c>
      <c r="R82" s="100">
        <f t="shared" si="3"/>
        <v>24691.503</v>
      </c>
      <c r="S82" s="100">
        <f t="shared" si="3"/>
        <v>25383.885</v>
      </c>
      <c r="T82" s="100">
        <f t="shared" si="3"/>
        <v>26113.581</v>
      </c>
      <c r="U82" s="100">
        <f t="shared" si="3"/>
        <v>26652.561</v>
      </c>
      <c r="V82" s="100">
        <f t="shared" si="3"/>
        <v>27647.601</v>
      </c>
    </row>
    <row r="83" spans="2:22" ht="12.75">
      <c r="B83" s="99" t="s">
        <v>16</v>
      </c>
      <c r="C83" s="100">
        <f t="shared" si="2"/>
        <v>29283.1565</v>
      </c>
      <c r="D83" s="100">
        <f t="shared" si="3"/>
        <v>40127.6005</v>
      </c>
      <c r="E83" s="100">
        <f t="shared" si="3"/>
        <v>50581.843</v>
      </c>
      <c r="F83" s="100">
        <f t="shared" si="3"/>
        <v>61588.683</v>
      </c>
      <c r="G83" s="100">
        <f t="shared" si="3"/>
        <v>72482.748</v>
      </c>
      <c r="H83" s="100">
        <f t="shared" si="3"/>
        <v>84578.9945</v>
      </c>
      <c r="I83" s="100">
        <f t="shared" si="3"/>
        <v>97642.8505</v>
      </c>
      <c r="J83" s="100">
        <f t="shared" si="3"/>
        <v>110975.111</v>
      </c>
      <c r="K83" s="100">
        <f t="shared" si="3"/>
        <v>123161.5775</v>
      </c>
      <c r="L83" s="100">
        <f t="shared" si="3"/>
        <v>133153.4425</v>
      </c>
      <c r="M83" s="100">
        <f t="shared" si="3"/>
        <v>140855.975</v>
      </c>
      <c r="N83" s="100">
        <f t="shared" si="3"/>
        <v>148100.641</v>
      </c>
      <c r="O83" s="100">
        <f t="shared" si="3"/>
        <v>153816.078</v>
      </c>
      <c r="P83" s="100">
        <f t="shared" si="3"/>
        <v>157515.098</v>
      </c>
      <c r="Q83" s="100">
        <f t="shared" si="3"/>
        <v>161965.1995</v>
      </c>
      <c r="R83" s="100">
        <f t="shared" si="3"/>
        <v>164180.1005</v>
      </c>
      <c r="S83" s="100">
        <f t="shared" si="3"/>
        <v>169115.1345</v>
      </c>
      <c r="T83" s="100">
        <f t="shared" si="3"/>
        <v>173019.405</v>
      </c>
      <c r="U83" s="100">
        <f t="shared" si="3"/>
        <v>174641.1095</v>
      </c>
      <c r="V83" s="100">
        <f t="shared" si="3"/>
        <v>177825.8755</v>
      </c>
    </row>
    <row r="84" spans="2:22" ht="12.75">
      <c r="B84" s="99" t="s">
        <v>17</v>
      </c>
      <c r="C84" s="100">
        <f t="shared" si="2"/>
        <v>0</v>
      </c>
      <c r="D84" s="100">
        <f t="shared" si="3"/>
        <v>0</v>
      </c>
      <c r="E84" s="100">
        <f t="shared" si="3"/>
        <v>0</v>
      </c>
      <c r="F84" s="100">
        <f t="shared" si="3"/>
        <v>0</v>
      </c>
      <c r="G84" s="100">
        <f t="shared" si="3"/>
        <v>0</v>
      </c>
      <c r="H84" s="100">
        <f t="shared" si="3"/>
        <v>0</v>
      </c>
      <c r="I84" s="100">
        <f t="shared" si="3"/>
        <v>0</v>
      </c>
      <c r="J84" s="100">
        <f t="shared" si="3"/>
        <v>179.183</v>
      </c>
      <c r="K84" s="100">
        <f t="shared" si="3"/>
        <v>741.028</v>
      </c>
      <c r="L84" s="100">
        <f t="shared" si="3"/>
        <v>1986.198</v>
      </c>
      <c r="M84" s="100">
        <f t="shared" si="3"/>
        <v>3753.732</v>
      </c>
      <c r="N84" s="100">
        <f t="shared" si="3"/>
        <v>6401.996</v>
      </c>
      <c r="O84" s="100">
        <f t="shared" si="3"/>
        <v>9335.738</v>
      </c>
      <c r="P84" s="100">
        <f t="shared" si="3"/>
        <v>12855.621</v>
      </c>
      <c r="Q84" s="100">
        <f t="shared" si="3"/>
        <v>16205.432</v>
      </c>
      <c r="R84" s="100">
        <f t="shared" si="3"/>
        <v>20414.714</v>
      </c>
      <c r="S84" s="100">
        <f t="shared" si="3"/>
        <v>25519.911</v>
      </c>
      <c r="T84" s="100">
        <f t="shared" si="3"/>
        <v>30597.775</v>
      </c>
      <c r="U84" s="100">
        <f t="shared" si="3"/>
        <v>36325.557</v>
      </c>
      <c r="V84" s="100">
        <f t="shared" si="3"/>
        <v>42688.072</v>
      </c>
    </row>
    <row r="85" spans="2:22" ht="12.75">
      <c r="B85" s="99" t="s">
        <v>18</v>
      </c>
      <c r="C85" s="100">
        <f t="shared" si="2"/>
        <v>0</v>
      </c>
      <c r="D85" s="100">
        <f t="shared" si="3"/>
        <v>0</v>
      </c>
      <c r="E85" s="100">
        <f t="shared" si="3"/>
        <v>0</v>
      </c>
      <c r="F85" s="100">
        <f t="shared" si="3"/>
        <v>0</v>
      </c>
      <c r="G85" s="100">
        <f t="shared" si="3"/>
        <v>0</v>
      </c>
      <c r="H85" s="100">
        <f t="shared" si="3"/>
        <v>0</v>
      </c>
      <c r="I85" s="100">
        <f t="shared" si="3"/>
        <v>0</v>
      </c>
      <c r="J85" s="100">
        <f t="shared" si="3"/>
        <v>117.216</v>
      </c>
      <c r="K85" s="100">
        <f t="shared" si="3"/>
        <v>610.944</v>
      </c>
      <c r="L85" s="100">
        <f t="shared" si="3"/>
        <v>1598.4</v>
      </c>
      <c r="M85" s="100">
        <f t="shared" si="3"/>
        <v>2845.152</v>
      </c>
      <c r="N85" s="100">
        <f t="shared" si="3"/>
        <v>5104.224</v>
      </c>
      <c r="O85" s="100">
        <f t="shared" si="3"/>
        <v>7594.176</v>
      </c>
      <c r="P85" s="100">
        <f t="shared" si="3"/>
        <v>10435.776</v>
      </c>
      <c r="Q85" s="100">
        <f t="shared" si="3"/>
        <v>13962.912</v>
      </c>
      <c r="R85" s="100">
        <f t="shared" si="3"/>
        <v>17113.536</v>
      </c>
      <c r="S85" s="100">
        <f t="shared" si="3"/>
        <v>21887.424</v>
      </c>
      <c r="T85" s="100">
        <f t="shared" si="3"/>
        <v>25901.184</v>
      </c>
      <c r="U85" s="100">
        <f t="shared" si="3"/>
        <v>29687.616</v>
      </c>
      <c r="V85" s="100">
        <f t="shared" si="3"/>
        <v>34319.424</v>
      </c>
    </row>
    <row r="86" spans="2:22" ht="12.75">
      <c r="B86" s="99" t="s">
        <v>19</v>
      </c>
      <c r="C86" s="100">
        <f t="shared" si="2"/>
        <v>2490.384</v>
      </c>
      <c r="D86" s="100">
        <f t="shared" si="3"/>
        <v>2514.944</v>
      </c>
      <c r="E86" s="100">
        <f t="shared" si="3"/>
        <v>2487.314</v>
      </c>
      <c r="F86" s="100">
        <f t="shared" si="3"/>
        <v>2532.75</v>
      </c>
      <c r="G86" s="100">
        <f t="shared" si="3"/>
        <v>2597.22</v>
      </c>
      <c r="H86" s="100">
        <f t="shared" si="3"/>
        <v>2658.006</v>
      </c>
      <c r="I86" s="100">
        <f t="shared" si="3"/>
        <v>2702.828</v>
      </c>
      <c r="J86" s="100">
        <f t="shared" si="3"/>
        <v>2710.196</v>
      </c>
      <c r="K86" s="100">
        <f t="shared" si="3"/>
        <v>2702.214</v>
      </c>
      <c r="L86" s="100">
        <f t="shared" si="3"/>
        <v>2686.25</v>
      </c>
      <c r="M86" s="100">
        <f t="shared" si="3"/>
        <v>2694.232</v>
      </c>
      <c r="N86" s="100">
        <f t="shared" si="3"/>
        <v>2710.196</v>
      </c>
      <c r="O86" s="100">
        <f t="shared" si="3"/>
        <v>2681.338</v>
      </c>
      <c r="P86" s="100">
        <f t="shared" si="3"/>
        <v>2664.76</v>
      </c>
      <c r="Q86" s="100">
        <f t="shared" si="3"/>
        <v>2535.206</v>
      </c>
      <c r="R86" s="100">
        <f t="shared" si="3"/>
        <v>2368.198</v>
      </c>
      <c r="S86" s="100">
        <f t="shared" si="3"/>
        <v>2275.484</v>
      </c>
      <c r="T86" s="100">
        <f t="shared" si="3"/>
        <v>2210.4</v>
      </c>
      <c r="U86" s="100">
        <f t="shared" si="3"/>
        <v>2072.864</v>
      </c>
      <c r="V86" s="100">
        <f t="shared" si="3"/>
        <v>2056.286</v>
      </c>
    </row>
    <row r="87" spans="2:22" ht="12.75">
      <c r="B87" s="99" t="s">
        <v>20</v>
      </c>
      <c r="C87" s="100">
        <f t="shared" si="2"/>
        <v>8584.3515</v>
      </c>
      <c r="D87" s="100">
        <f t="shared" si="3"/>
        <v>8739.4305</v>
      </c>
      <c r="E87" s="100">
        <f t="shared" si="3"/>
        <v>8777.03</v>
      </c>
      <c r="F87" s="100">
        <f t="shared" si="3"/>
        <v>8784.2805</v>
      </c>
      <c r="G87" s="100">
        <f t="shared" si="3"/>
        <v>8950.8235</v>
      </c>
      <c r="H87" s="100">
        <f t="shared" si="3"/>
        <v>9027.654</v>
      </c>
      <c r="I87" s="100">
        <f t="shared" si="3"/>
        <v>8909.706</v>
      </c>
      <c r="J87" s="100">
        <f t="shared" si="3"/>
        <v>8981.984</v>
      </c>
      <c r="K87" s="100">
        <f t="shared" si="3"/>
        <v>9066.5035</v>
      </c>
      <c r="L87" s="100">
        <f t="shared" si="3"/>
        <v>9011.3895</v>
      </c>
      <c r="M87" s="100">
        <f t="shared" si="3"/>
        <v>8843.5295</v>
      </c>
      <c r="N87" s="100">
        <f t="shared" si="3"/>
        <v>8733.062</v>
      </c>
      <c r="O87" s="100">
        <f t="shared" si="3"/>
        <v>8585.7735</v>
      </c>
      <c r="P87" s="100">
        <f t="shared" si="3"/>
        <v>8373.9115</v>
      </c>
      <c r="Q87" s="100">
        <f t="shared" si="3"/>
        <v>8289.5405</v>
      </c>
      <c r="R87" s="100">
        <f t="shared" si="3"/>
        <v>8228.2935</v>
      </c>
      <c r="S87" s="100">
        <f t="shared" si="3"/>
        <v>8061.953</v>
      </c>
      <c r="T87" s="100">
        <f t="shared" si="3"/>
        <v>7845.321</v>
      </c>
      <c r="U87" s="100">
        <f t="shared" si="3"/>
        <v>7548.5805</v>
      </c>
      <c r="V87" s="100">
        <f t="shared" si="3"/>
        <v>7256.8095</v>
      </c>
    </row>
    <row r="88" spans="2:22" ht="12.75">
      <c r="B88" s="99" t="s">
        <v>21</v>
      </c>
      <c r="C88" s="100">
        <f t="shared" si="2"/>
        <v>704.674</v>
      </c>
      <c r="D88" s="100">
        <f t="shared" si="3"/>
        <v>709.6995</v>
      </c>
      <c r="E88" s="100">
        <f t="shared" si="3"/>
        <v>730.5605</v>
      </c>
      <c r="F88" s="100">
        <f t="shared" si="3"/>
        <v>729.169</v>
      </c>
      <c r="G88" s="100">
        <f t="shared" si="3"/>
        <v>741.152</v>
      </c>
      <c r="H88" s="100">
        <f t="shared" si="3"/>
        <v>751.847</v>
      </c>
      <c r="I88" s="100">
        <f t="shared" si="3"/>
        <v>747.2585</v>
      </c>
      <c r="J88" s="100">
        <f t="shared" si="3"/>
        <v>749.6045</v>
      </c>
      <c r="K88" s="100">
        <f t="shared" si="3"/>
        <v>751.4215</v>
      </c>
      <c r="L88" s="100">
        <f t="shared" si="3"/>
        <v>750.122</v>
      </c>
      <c r="M88" s="100">
        <f t="shared" si="3"/>
        <v>735.54</v>
      </c>
      <c r="N88" s="100">
        <f t="shared" si="3"/>
        <v>723.051</v>
      </c>
      <c r="O88" s="100">
        <f t="shared" si="3"/>
        <v>708.446</v>
      </c>
      <c r="P88" s="100">
        <f t="shared" si="3"/>
        <v>703.386</v>
      </c>
      <c r="Q88" s="100">
        <f t="shared" si="3"/>
        <v>698.073</v>
      </c>
      <c r="R88" s="100">
        <f t="shared" si="3"/>
        <v>697.9235</v>
      </c>
      <c r="S88" s="100">
        <f t="shared" si="3"/>
        <v>697.3025</v>
      </c>
      <c r="T88" s="100">
        <f t="shared" si="3"/>
        <v>675.8665</v>
      </c>
      <c r="U88" s="100">
        <f t="shared" si="3"/>
        <v>669.507</v>
      </c>
      <c r="V88" s="100">
        <f t="shared" si="3"/>
        <v>664.516</v>
      </c>
    </row>
    <row r="89" spans="2:22" ht="12.75">
      <c r="B89" s="99" t="s">
        <v>22</v>
      </c>
      <c r="C89" s="100">
        <f t="shared" si="2"/>
        <v>894.887</v>
      </c>
      <c r="D89" s="100">
        <f t="shared" si="3"/>
        <v>901.747</v>
      </c>
      <c r="E89" s="100">
        <f t="shared" si="3"/>
        <v>896.945</v>
      </c>
      <c r="F89" s="100">
        <f t="shared" si="3"/>
        <v>890.085</v>
      </c>
      <c r="G89" s="100">
        <f t="shared" si="3"/>
        <v>910.665</v>
      </c>
      <c r="H89" s="100">
        <f t="shared" si="3"/>
        <v>924.385</v>
      </c>
      <c r="I89" s="100">
        <f t="shared" si="3"/>
        <v>924.042</v>
      </c>
      <c r="J89" s="100">
        <f t="shared" si="3"/>
        <v>971.719</v>
      </c>
      <c r="K89" s="100">
        <f t="shared" si="3"/>
        <v>978.579</v>
      </c>
      <c r="L89" s="100">
        <f t="shared" si="3"/>
        <v>967.26</v>
      </c>
      <c r="M89" s="100">
        <f t="shared" si="3"/>
        <v>933.646</v>
      </c>
      <c r="N89" s="100">
        <f t="shared" si="3"/>
        <v>913.409</v>
      </c>
      <c r="O89" s="100">
        <f t="shared" si="3"/>
        <v>900.032</v>
      </c>
      <c r="P89" s="100">
        <f t="shared" si="3"/>
        <v>861.959</v>
      </c>
      <c r="Q89" s="100">
        <f t="shared" si="3"/>
        <v>832.804</v>
      </c>
      <c r="R89" s="100">
        <f t="shared" si="3"/>
        <v>792.33</v>
      </c>
      <c r="S89" s="100">
        <f t="shared" si="3"/>
        <v>762.832</v>
      </c>
      <c r="T89" s="100">
        <f t="shared" si="3"/>
        <v>717.556</v>
      </c>
      <c r="U89" s="100">
        <f t="shared" si="3"/>
        <v>686.343</v>
      </c>
      <c r="V89" s="100">
        <f t="shared" si="3"/>
        <v>656.845</v>
      </c>
    </row>
    <row r="90" spans="2:22" ht="12.75">
      <c r="B90" s="99" t="s">
        <v>23</v>
      </c>
      <c r="C90" s="100">
        <f t="shared" si="2"/>
        <v>0</v>
      </c>
      <c r="D90" s="100">
        <f t="shared" si="3"/>
        <v>0</v>
      </c>
      <c r="E90" s="100">
        <f t="shared" si="3"/>
        <v>0</v>
      </c>
      <c r="F90" s="100">
        <f t="shared" si="3"/>
        <v>0</v>
      </c>
      <c r="G90" s="100">
        <f t="shared" si="3"/>
        <v>0</v>
      </c>
      <c r="H90" s="100">
        <f t="shared" si="3"/>
        <v>0</v>
      </c>
      <c r="I90" s="100">
        <f t="shared" si="3"/>
        <v>0</v>
      </c>
      <c r="J90" s="100">
        <f t="shared" si="3"/>
        <v>0</v>
      </c>
      <c r="K90" s="100">
        <f t="shared" si="3"/>
        <v>0</v>
      </c>
      <c r="L90" s="100">
        <f t="shared" si="3"/>
        <v>103.359</v>
      </c>
      <c r="M90" s="100">
        <f t="shared" si="3"/>
        <v>613.842</v>
      </c>
      <c r="N90" s="100">
        <f t="shared" si="3"/>
        <v>1459.65</v>
      </c>
      <c r="O90" s="100">
        <f t="shared" si="3"/>
        <v>2703.903</v>
      </c>
      <c r="P90" s="100">
        <f t="shared" si="3"/>
        <v>4252.71</v>
      </c>
      <c r="Q90" s="100">
        <f t="shared" si="3"/>
        <v>6093.0525</v>
      </c>
      <c r="R90" s="100">
        <f t="shared" si="3"/>
        <v>7627.263</v>
      </c>
      <c r="S90" s="100">
        <f t="shared" si="3"/>
        <v>9648.2865</v>
      </c>
      <c r="T90" s="100">
        <f t="shared" si="3"/>
        <v>11836.9725</v>
      </c>
      <c r="U90" s="100">
        <f t="shared" si="3"/>
        <v>13708.875</v>
      </c>
      <c r="V90" s="100">
        <f t="shared" si="3"/>
        <v>16100.7285</v>
      </c>
    </row>
    <row r="91" spans="2:22" ht="12.75">
      <c r="B91" s="99" t="s">
        <v>24</v>
      </c>
      <c r="C91" s="100">
        <f t="shared" si="2"/>
        <v>124183.298</v>
      </c>
      <c r="D91" s="100">
        <f aca="true" t="shared" si="4" ref="D91:V94">IF(ISERROR(D60),0,D60)</f>
        <v>124500.899</v>
      </c>
      <c r="E91" s="100">
        <f t="shared" si="4"/>
        <v>125590.937</v>
      </c>
      <c r="F91" s="100">
        <f t="shared" si="4"/>
        <v>125745.163</v>
      </c>
      <c r="G91" s="100">
        <f t="shared" si="4"/>
        <v>125875.863</v>
      </c>
      <c r="H91" s="100">
        <f t="shared" si="4"/>
        <v>126038.5845</v>
      </c>
      <c r="I91" s="100">
        <f t="shared" si="4"/>
        <v>126039.238</v>
      </c>
      <c r="J91" s="100">
        <f t="shared" si="4"/>
        <v>125796.136</v>
      </c>
      <c r="K91" s="100">
        <f t="shared" si="4"/>
        <v>126371.8695</v>
      </c>
      <c r="L91" s="100">
        <f t="shared" si="4"/>
        <v>125305.3575</v>
      </c>
      <c r="M91" s="100">
        <f t="shared" si="4"/>
        <v>124215.3195</v>
      </c>
      <c r="N91" s="100">
        <f t="shared" si="4"/>
        <v>123276.636</v>
      </c>
      <c r="O91" s="100">
        <f t="shared" si="4"/>
        <v>121611.681</v>
      </c>
      <c r="P91" s="100">
        <f t="shared" si="4"/>
        <v>118577.1565</v>
      </c>
      <c r="Q91" s="100">
        <f t="shared" si="4"/>
        <v>115165.921</v>
      </c>
      <c r="R91" s="100">
        <f t="shared" si="4"/>
        <v>111596.255</v>
      </c>
      <c r="S91" s="100">
        <f t="shared" si="4"/>
        <v>107493.299</v>
      </c>
      <c r="T91" s="100">
        <f t="shared" si="4"/>
        <v>102145.235</v>
      </c>
      <c r="U91" s="100">
        <f t="shared" si="4"/>
        <v>96653.3885</v>
      </c>
      <c r="V91" s="100">
        <f t="shared" si="4"/>
        <v>91802.8565</v>
      </c>
    </row>
    <row r="92" spans="2:22" ht="12.75">
      <c r="B92" s="99" t="s">
        <v>25</v>
      </c>
      <c r="C92" s="100">
        <f t="shared" si="2"/>
        <v>55836.975</v>
      </c>
      <c r="D92" s="100">
        <f t="shared" si="4"/>
        <v>55470.1305</v>
      </c>
      <c r="E92" s="100">
        <f t="shared" si="4"/>
        <v>55392.523</v>
      </c>
      <c r="F92" s="100">
        <f t="shared" si="4"/>
        <v>55257.912</v>
      </c>
      <c r="G92" s="100">
        <f t="shared" si="4"/>
        <v>55290.8145</v>
      </c>
      <c r="H92" s="100">
        <f t="shared" si="4"/>
        <v>54922.0145</v>
      </c>
      <c r="I92" s="100">
        <f t="shared" si="4"/>
        <v>54901.8905</v>
      </c>
      <c r="J92" s="100">
        <f t="shared" si="4"/>
        <v>54895.8455</v>
      </c>
      <c r="K92" s="100">
        <f t="shared" si="4"/>
        <v>55021.01</v>
      </c>
      <c r="L92" s="100">
        <f t="shared" si="4"/>
        <v>54369.4475</v>
      </c>
      <c r="M92" s="100">
        <f t="shared" si="4"/>
        <v>53931.396</v>
      </c>
      <c r="N92" s="100">
        <f t="shared" si="4"/>
        <v>53610.4215</v>
      </c>
      <c r="O92" s="100">
        <f t="shared" si="4"/>
        <v>53725.449</v>
      </c>
      <c r="P92" s="100">
        <f t="shared" si="4"/>
        <v>53006.2125</v>
      </c>
      <c r="Q92" s="100">
        <f t="shared" si="4"/>
        <v>52844.7395</v>
      </c>
      <c r="R92" s="100">
        <f t="shared" si="4"/>
        <v>52248.1115</v>
      </c>
      <c r="S92" s="100">
        <f t="shared" si="4"/>
        <v>51799.35</v>
      </c>
      <c r="T92" s="100">
        <f t="shared" si="4"/>
        <v>51332.0755</v>
      </c>
      <c r="U92" s="100">
        <f t="shared" si="4"/>
        <v>50494.3955</v>
      </c>
      <c r="V92" s="100">
        <f t="shared" si="4"/>
        <v>50339.454</v>
      </c>
    </row>
    <row r="93" spans="2:22" ht="12.75">
      <c r="B93" s="99" t="s">
        <v>26</v>
      </c>
      <c r="C93" s="100">
        <f t="shared" si="2"/>
        <v>9074.8975</v>
      </c>
      <c r="D93" s="100">
        <f t="shared" si="4"/>
        <v>9028.5555</v>
      </c>
      <c r="E93" s="100">
        <f t="shared" si="4"/>
        <v>9150.08</v>
      </c>
      <c r="F93" s="100">
        <f t="shared" si="4"/>
        <v>9147.122</v>
      </c>
      <c r="G93" s="100">
        <f t="shared" si="4"/>
        <v>9119.514</v>
      </c>
      <c r="H93" s="100">
        <f t="shared" si="4"/>
        <v>9085.497</v>
      </c>
      <c r="I93" s="100">
        <f t="shared" si="4"/>
        <v>9019.435</v>
      </c>
      <c r="J93" s="100">
        <f t="shared" si="4"/>
        <v>8929.4625</v>
      </c>
      <c r="K93" s="100">
        <f t="shared" si="4"/>
        <v>8924.5325</v>
      </c>
      <c r="L93" s="100">
        <f t="shared" si="4"/>
        <v>8778.851</v>
      </c>
      <c r="M93" s="100">
        <f t="shared" si="4"/>
        <v>8677.0465</v>
      </c>
      <c r="N93" s="100">
        <f t="shared" si="4"/>
        <v>8603.343</v>
      </c>
      <c r="O93" s="100">
        <f t="shared" si="4"/>
        <v>8467.0285</v>
      </c>
      <c r="P93" s="100">
        <f t="shared" si="4"/>
        <v>8345.011</v>
      </c>
      <c r="Q93" s="100">
        <f t="shared" si="4"/>
        <v>8128.091</v>
      </c>
      <c r="R93" s="100">
        <f t="shared" si="4"/>
        <v>7952.583</v>
      </c>
      <c r="S93" s="100">
        <f t="shared" si="4"/>
        <v>7944.4485</v>
      </c>
      <c r="T93" s="100">
        <f t="shared" si="4"/>
        <v>7722.352</v>
      </c>
      <c r="U93" s="100">
        <f t="shared" si="4"/>
        <v>7600.581</v>
      </c>
      <c r="V93" s="100">
        <f t="shared" si="4"/>
        <v>7491.8745</v>
      </c>
    </row>
    <row r="94" spans="2:22" ht="12.75">
      <c r="B94" s="99" t="s">
        <v>71</v>
      </c>
      <c r="C94" s="100">
        <f t="shared" si="2"/>
        <v>0</v>
      </c>
      <c r="D94" s="100">
        <f t="shared" si="4"/>
        <v>0</v>
      </c>
      <c r="E94" s="100">
        <f t="shared" si="4"/>
        <v>0</v>
      </c>
      <c r="F94" s="100">
        <f t="shared" si="4"/>
        <v>0</v>
      </c>
      <c r="G94" s="100">
        <f t="shared" si="4"/>
        <v>0</v>
      </c>
      <c r="H94" s="100">
        <f t="shared" si="4"/>
        <v>0</v>
      </c>
      <c r="I94" s="100">
        <f t="shared" si="4"/>
        <v>0</v>
      </c>
      <c r="J94" s="100">
        <f t="shared" si="4"/>
        <v>0</v>
      </c>
      <c r="K94" s="100">
        <f t="shared" si="4"/>
        <v>0</v>
      </c>
      <c r="L94" s="100">
        <f t="shared" si="4"/>
        <v>0</v>
      </c>
      <c r="M94" s="100">
        <f t="shared" si="4"/>
        <v>0</v>
      </c>
      <c r="N94" s="100">
        <f t="shared" si="4"/>
        <v>0</v>
      </c>
      <c r="O94" s="100">
        <f t="shared" si="4"/>
        <v>0</v>
      </c>
      <c r="P94" s="100">
        <f t="shared" si="4"/>
        <v>0</v>
      </c>
      <c r="Q94" s="100">
        <f t="shared" si="4"/>
        <v>0</v>
      </c>
      <c r="R94" s="100">
        <f t="shared" si="4"/>
        <v>0</v>
      </c>
      <c r="S94" s="100">
        <f t="shared" si="4"/>
        <v>0</v>
      </c>
      <c r="T94" s="100">
        <f t="shared" si="4"/>
        <v>0</v>
      </c>
      <c r="U94" s="100">
        <f t="shared" si="4"/>
        <v>0</v>
      </c>
      <c r="V94" s="100">
        <f t="shared" si="4"/>
        <v>88.457</v>
      </c>
    </row>
    <row r="95" spans="2:17" ht="12.75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2:22" ht="13.5" thickBot="1">
      <c r="B96" s="9" t="s">
        <v>0</v>
      </c>
      <c r="C96" s="12">
        <v>38504</v>
      </c>
      <c r="D96" s="12">
        <v>38534</v>
      </c>
      <c r="E96" s="12">
        <v>38565</v>
      </c>
      <c r="F96" s="12">
        <v>38596</v>
      </c>
      <c r="G96" s="12">
        <v>38626</v>
      </c>
      <c r="H96" s="12">
        <v>38657</v>
      </c>
      <c r="I96" s="12">
        <v>38687</v>
      </c>
      <c r="J96" s="12">
        <v>38718</v>
      </c>
      <c r="K96" s="12">
        <v>38749</v>
      </c>
      <c r="L96" s="12">
        <v>38777</v>
      </c>
      <c r="M96" s="12">
        <v>38808</v>
      </c>
      <c r="N96" s="12">
        <v>38838</v>
      </c>
      <c r="O96" s="12">
        <v>38869</v>
      </c>
      <c r="P96" s="12">
        <v>38899</v>
      </c>
      <c r="Q96" s="12">
        <v>38930</v>
      </c>
      <c r="R96" s="12">
        <v>38961</v>
      </c>
      <c r="S96" s="12">
        <v>38991</v>
      </c>
      <c r="T96" s="12">
        <v>39022</v>
      </c>
      <c r="U96" s="12">
        <v>39052</v>
      </c>
      <c r="V96" s="12">
        <v>39083</v>
      </c>
    </row>
    <row r="97" spans="2:22" ht="13.5" thickTop="1">
      <c r="B97" s="7" t="s">
        <v>27</v>
      </c>
      <c r="C97" s="8">
        <f>SUM(C66:C68)</f>
        <v>420440.553</v>
      </c>
      <c r="D97" s="8">
        <f aca="true" t="shared" si="5" ref="D97:V97">SUM(D66:D68)</f>
        <v>415794.547</v>
      </c>
      <c r="E97" s="8">
        <f t="shared" si="5"/>
        <v>415190.9925</v>
      </c>
      <c r="F97" s="8">
        <f t="shared" si="5"/>
        <v>411687.54150000005</v>
      </c>
      <c r="G97" s="8">
        <f t="shared" si="5"/>
        <v>408753.6</v>
      </c>
      <c r="H97" s="8">
        <f t="shared" si="5"/>
        <v>405688.17850000004</v>
      </c>
      <c r="I97" s="8">
        <f t="shared" si="5"/>
        <v>402099.89950000006</v>
      </c>
      <c r="J97" s="8">
        <f t="shared" si="5"/>
        <v>397551.91000000003</v>
      </c>
      <c r="K97" s="8">
        <f t="shared" si="5"/>
        <v>395687.0755</v>
      </c>
      <c r="L97" s="8">
        <f t="shared" si="5"/>
        <v>386069.853</v>
      </c>
      <c r="M97" s="8">
        <f t="shared" si="5"/>
        <v>377503.6355</v>
      </c>
      <c r="N97" s="8">
        <f t="shared" si="5"/>
        <v>371837.57</v>
      </c>
      <c r="O97" s="8">
        <f t="shared" si="5"/>
        <v>368924.09</v>
      </c>
      <c r="P97" s="8">
        <f t="shared" si="5"/>
        <v>366631.29850000003</v>
      </c>
      <c r="Q97" s="8">
        <f t="shared" si="5"/>
        <v>362998.0185</v>
      </c>
      <c r="R97" s="8">
        <f t="shared" si="5"/>
        <v>358897.32550000004</v>
      </c>
      <c r="S97" s="8">
        <f t="shared" si="5"/>
        <v>358873.4305</v>
      </c>
      <c r="T97" s="8">
        <f t="shared" si="5"/>
        <v>355448.9445</v>
      </c>
      <c r="U97" s="8">
        <f t="shared" si="5"/>
        <v>350002.642</v>
      </c>
      <c r="V97" s="8">
        <f t="shared" si="5"/>
        <v>350028.9545</v>
      </c>
    </row>
    <row r="98" spans="2:22" ht="12.75">
      <c r="B98" s="1" t="s">
        <v>28</v>
      </c>
      <c r="C98" s="4">
        <f>SUM(C69:C71)</f>
        <v>693192.794</v>
      </c>
      <c r="D98" s="4">
        <f aca="true" t="shared" si="6" ref="D98:V98">SUM(D69:D71)</f>
        <v>691612.308</v>
      </c>
      <c r="E98" s="4">
        <f t="shared" si="6"/>
        <v>696985.622</v>
      </c>
      <c r="F98" s="4">
        <f t="shared" si="6"/>
        <v>699655.9115</v>
      </c>
      <c r="G98" s="4">
        <f t="shared" si="6"/>
        <v>701251.1265</v>
      </c>
      <c r="H98" s="4">
        <f t="shared" si="6"/>
        <v>699695.36</v>
      </c>
      <c r="I98" s="4">
        <f t="shared" si="6"/>
        <v>701481.9555</v>
      </c>
      <c r="J98" s="4">
        <f t="shared" si="6"/>
        <v>703058.128</v>
      </c>
      <c r="K98" s="4">
        <f t="shared" si="6"/>
        <v>706551.28</v>
      </c>
      <c r="L98" s="4">
        <f t="shared" si="6"/>
        <v>700136.2895</v>
      </c>
      <c r="M98" s="4">
        <f t="shared" si="6"/>
        <v>695460.255</v>
      </c>
      <c r="N98" s="4">
        <f t="shared" si="6"/>
        <v>692458.268</v>
      </c>
      <c r="O98" s="4">
        <f t="shared" si="6"/>
        <v>689444.371</v>
      </c>
      <c r="P98" s="4">
        <f t="shared" si="6"/>
        <v>683086.4565</v>
      </c>
      <c r="Q98" s="4">
        <f t="shared" si="6"/>
        <v>675532.7875000001</v>
      </c>
      <c r="R98" s="4">
        <f t="shared" si="6"/>
        <v>657276.196</v>
      </c>
      <c r="S98" s="4">
        <f t="shared" si="6"/>
        <v>645212.1162</v>
      </c>
      <c r="T98" s="4">
        <f t="shared" si="6"/>
        <v>629933.1527</v>
      </c>
      <c r="U98" s="4">
        <f t="shared" si="6"/>
        <v>606659.3477</v>
      </c>
      <c r="V98" s="4">
        <f t="shared" si="6"/>
        <v>594169.242</v>
      </c>
    </row>
    <row r="99" spans="2:22" ht="12.75">
      <c r="B99" s="1" t="s">
        <v>39</v>
      </c>
      <c r="C99" s="4">
        <f>C72</f>
        <v>0</v>
      </c>
      <c r="D99" s="4">
        <f aca="true" t="shared" si="7" ref="D99:V99">D72</f>
        <v>0</v>
      </c>
      <c r="E99" s="4">
        <f t="shared" si="7"/>
        <v>0</v>
      </c>
      <c r="F99" s="4">
        <f t="shared" si="7"/>
        <v>0</v>
      </c>
      <c r="G99" s="4">
        <f t="shared" si="7"/>
        <v>0</v>
      </c>
      <c r="H99" s="4">
        <f t="shared" si="7"/>
        <v>0</v>
      </c>
      <c r="I99" s="4">
        <f t="shared" si="7"/>
        <v>0</v>
      </c>
      <c r="J99" s="4">
        <f t="shared" si="7"/>
        <v>0</v>
      </c>
      <c r="K99" s="4">
        <f t="shared" si="7"/>
        <v>0</v>
      </c>
      <c r="L99" s="4">
        <f t="shared" si="7"/>
        <v>0</v>
      </c>
      <c r="M99" s="4">
        <f t="shared" si="7"/>
        <v>0</v>
      </c>
      <c r="N99" s="4">
        <f t="shared" si="7"/>
        <v>0</v>
      </c>
      <c r="O99" s="4">
        <f t="shared" si="7"/>
        <v>232.712</v>
      </c>
      <c r="P99" s="4">
        <f t="shared" si="7"/>
        <v>881.856</v>
      </c>
      <c r="Q99" s="4">
        <f t="shared" si="7"/>
        <v>1681.038</v>
      </c>
      <c r="R99" s="4">
        <f t="shared" si="7"/>
        <v>2754.269</v>
      </c>
      <c r="S99" s="4">
        <f t="shared" si="7"/>
        <v>4666.2833</v>
      </c>
      <c r="T99" s="4">
        <f t="shared" si="7"/>
        <v>7048.3146</v>
      </c>
      <c r="U99" s="4">
        <f t="shared" si="7"/>
        <v>9479.3379</v>
      </c>
      <c r="V99" s="4">
        <f t="shared" si="7"/>
        <v>12731.9159</v>
      </c>
    </row>
    <row r="100" spans="2:22" ht="12.75">
      <c r="B100" s="1" t="s">
        <v>29</v>
      </c>
      <c r="C100" s="4">
        <f>SUM(C73:C75)</f>
        <v>146282.8535</v>
      </c>
      <c r="D100" s="4">
        <f aca="true" t="shared" si="8" ref="D100:V100">SUM(D73:D75)</f>
        <v>148236.64500000002</v>
      </c>
      <c r="E100" s="4">
        <f t="shared" si="8"/>
        <v>150268.4735</v>
      </c>
      <c r="F100" s="4">
        <f t="shared" si="8"/>
        <v>151779.7085</v>
      </c>
      <c r="G100" s="4">
        <f t="shared" si="8"/>
        <v>153695.5775</v>
      </c>
      <c r="H100" s="4">
        <f t="shared" si="8"/>
        <v>155285.99300000002</v>
      </c>
      <c r="I100" s="4">
        <f t="shared" si="8"/>
        <v>156727.95799999998</v>
      </c>
      <c r="J100" s="4">
        <f t="shared" si="8"/>
        <v>157535.11800000002</v>
      </c>
      <c r="K100" s="4">
        <f t="shared" si="8"/>
        <v>160373.839</v>
      </c>
      <c r="L100" s="4">
        <f t="shared" si="8"/>
        <v>160244.54249999998</v>
      </c>
      <c r="M100" s="4">
        <f t="shared" si="8"/>
        <v>159738.201</v>
      </c>
      <c r="N100" s="4">
        <f t="shared" si="8"/>
        <v>160364.848</v>
      </c>
      <c r="O100" s="4">
        <f t="shared" si="8"/>
        <v>161356.8695</v>
      </c>
      <c r="P100" s="4">
        <f t="shared" si="8"/>
        <v>161484.479</v>
      </c>
      <c r="Q100" s="4">
        <f t="shared" si="8"/>
        <v>162263.0927</v>
      </c>
      <c r="R100" s="4">
        <f t="shared" si="8"/>
        <v>162668.50799999997</v>
      </c>
      <c r="S100" s="4">
        <f t="shared" si="8"/>
        <v>163694.0643</v>
      </c>
      <c r="T100" s="4">
        <f t="shared" si="8"/>
        <v>163470.61690000002</v>
      </c>
      <c r="U100" s="4">
        <f t="shared" si="8"/>
        <v>162334.9264</v>
      </c>
      <c r="V100" s="4">
        <f t="shared" si="8"/>
        <v>163286.2977</v>
      </c>
    </row>
    <row r="101" spans="2:22" ht="12.75">
      <c r="B101" s="1" t="s">
        <v>30</v>
      </c>
      <c r="C101" s="4">
        <f>SUM(C76:C79)</f>
        <v>685367.0365</v>
      </c>
      <c r="D101" s="4">
        <f aca="true" t="shared" si="9" ref="D101:V101">SUM(D76:D79)</f>
        <v>691208.0385</v>
      </c>
      <c r="E101" s="4">
        <f t="shared" si="9"/>
        <v>703694.1825000001</v>
      </c>
      <c r="F101" s="4">
        <f t="shared" si="9"/>
        <v>711561.9845</v>
      </c>
      <c r="G101" s="4">
        <f t="shared" si="9"/>
        <v>720397.0435000001</v>
      </c>
      <c r="H101" s="4">
        <f t="shared" si="9"/>
        <v>729080.711</v>
      </c>
      <c r="I101" s="4">
        <f t="shared" si="9"/>
        <v>737892.126</v>
      </c>
      <c r="J101" s="4">
        <f t="shared" si="9"/>
        <v>745908.148</v>
      </c>
      <c r="K101" s="4">
        <f t="shared" si="9"/>
        <v>757442.805</v>
      </c>
      <c r="L101" s="4">
        <f t="shared" si="9"/>
        <v>758802.4</v>
      </c>
      <c r="M101" s="4">
        <f t="shared" si="9"/>
        <v>762108.1124999999</v>
      </c>
      <c r="N101" s="4">
        <f t="shared" si="9"/>
        <v>769966.761</v>
      </c>
      <c r="O101" s="4">
        <f t="shared" si="9"/>
        <v>780430.8635</v>
      </c>
      <c r="P101" s="4">
        <f t="shared" si="9"/>
        <v>787172.6114999999</v>
      </c>
      <c r="Q101" s="4">
        <f t="shared" si="9"/>
        <v>795388.6655</v>
      </c>
      <c r="R101" s="4">
        <f t="shared" si="9"/>
        <v>799054.2714999999</v>
      </c>
      <c r="S101" s="4">
        <f t="shared" si="9"/>
        <v>807058.4815</v>
      </c>
      <c r="T101" s="4">
        <f t="shared" si="9"/>
        <v>808501.2819999999</v>
      </c>
      <c r="U101" s="4">
        <f t="shared" si="9"/>
        <v>799985.0643</v>
      </c>
      <c r="V101" s="4">
        <f t="shared" si="9"/>
        <v>802410.002</v>
      </c>
    </row>
    <row r="102" spans="2:22" ht="12.75">
      <c r="B102" s="1" t="s">
        <v>31</v>
      </c>
      <c r="C102" s="4">
        <f>SUM(C80:C82)</f>
        <v>90145.5765</v>
      </c>
      <c r="D102" s="4">
        <f aca="true" t="shared" si="10" ref="D102:V102">SUM(D80:D82)</f>
        <v>93658.89</v>
      </c>
      <c r="E102" s="4">
        <f t="shared" si="10"/>
        <v>98569.098</v>
      </c>
      <c r="F102" s="4">
        <f t="shared" si="10"/>
        <v>103253.817</v>
      </c>
      <c r="G102" s="4">
        <f t="shared" si="10"/>
        <v>107920.617</v>
      </c>
      <c r="H102" s="4">
        <f t="shared" si="10"/>
        <v>112769.24250000001</v>
      </c>
      <c r="I102" s="4">
        <f t="shared" si="10"/>
        <v>117376.3695</v>
      </c>
      <c r="J102" s="4">
        <f t="shared" si="10"/>
        <v>120905.583</v>
      </c>
      <c r="K102" s="4">
        <f t="shared" si="10"/>
        <v>126401.4855</v>
      </c>
      <c r="L102" s="4">
        <f t="shared" si="10"/>
        <v>131815.4565</v>
      </c>
      <c r="M102" s="4">
        <f t="shared" si="10"/>
        <v>137409.102</v>
      </c>
      <c r="N102" s="4">
        <f t="shared" si="10"/>
        <v>144711.666</v>
      </c>
      <c r="O102" s="4">
        <f t="shared" si="10"/>
        <v>153699.096</v>
      </c>
      <c r="P102" s="4">
        <f t="shared" si="10"/>
        <v>162549.86179999998</v>
      </c>
      <c r="Q102" s="4">
        <f t="shared" si="10"/>
        <v>171193.8001</v>
      </c>
      <c r="R102" s="4">
        <f t="shared" si="10"/>
        <v>180392.8799</v>
      </c>
      <c r="S102" s="4">
        <f t="shared" si="10"/>
        <v>190076.046</v>
      </c>
      <c r="T102" s="4">
        <f t="shared" si="10"/>
        <v>199665.12410000002</v>
      </c>
      <c r="U102" s="4">
        <f t="shared" si="10"/>
        <v>207850.8859</v>
      </c>
      <c r="V102" s="4">
        <f t="shared" si="10"/>
        <v>219840.042</v>
      </c>
    </row>
    <row r="103" spans="2:22" ht="12.75">
      <c r="B103" s="1" t="s">
        <v>32</v>
      </c>
      <c r="C103" s="4">
        <f>C83</f>
        <v>29283.1565</v>
      </c>
      <c r="D103" s="4">
        <f aca="true" t="shared" si="11" ref="D103:V103">D83</f>
        <v>40127.6005</v>
      </c>
      <c r="E103" s="4">
        <f t="shared" si="11"/>
        <v>50581.843</v>
      </c>
      <c r="F103" s="4">
        <f t="shared" si="11"/>
        <v>61588.683</v>
      </c>
      <c r="G103" s="4">
        <f t="shared" si="11"/>
        <v>72482.748</v>
      </c>
      <c r="H103" s="4">
        <f t="shared" si="11"/>
        <v>84578.9945</v>
      </c>
      <c r="I103" s="4">
        <f t="shared" si="11"/>
        <v>97642.8505</v>
      </c>
      <c r="J103" s="4">
        <f t="shared" si="11"/>
        <v>110975.111</v>
      </c>
      <c r="K103" s="4">
        <f t="shared" si="11"/>
        <v>123161.5775</v>
      </c>
      <c r="L103" s="4">
        <f t="shared" si="11"/>
        <v>133153.4425</v>
      </c>
      <c r="M103" s="4">
        <f t="shared" si="11"/>
        <v>140855.975</v>
      </c>
      <c r="N103" s="4">
        <f t="shared" si="11"/>
        <v>148100.641</v>
      </c>
      <c r="O103" s="4">
        <f t="shared" si="11"/>
        <v>153816.078</v>
      </c>
      <c r="P103" s="4">
        <f t="shared" si="11"/>
        <v>157515.098</v>
      </c>
      <c r="Q103" s="4">
        <f t="shared" si="11"/>
        <v>161965.1995</v>
      </c>
      <c r="R103" s="4">
        <f t="shared" si="11"/>
        <v>164180.1005</v>
      </c>
      <c r="S103" s="4">
        <f t="shared" si="11"/>
        <v>169115.1345</v>
      </c>
      <c r="T103" s="4">
        <f t="shared" si="11"/>
        <v>173019.405</v>
      </c>
      <c r="U103" s="4">
        <f t="shared" si="11"/>
        <v>174641.1095</v>
      </c>
      <c r="V103" s="4">
        <f t="shared" si="11"/>
        <v>177825.8755</v>
      </c>
    </row>
    <row r="104" spans="2:22" ht="12.75">
      <c r="B104" s="1" t="s">
        <v>33</v>
      </c>
      <c r="C104" s="4">
        <f>SUM(C84:C85)</f>
        <v>0</v>
      </c>
      <c r="D104" s="4">
        <f aca="true" t="shared" si="12" ref="D104:V104">SUM(D84:D85)</f>
        <v>0</v>
      </c>
      <c r="E104" s="4">
        <f t="shared" si="12"/>
        <v>0</v>
      </c>
      <c r="F104" s="4">
        <f t="shared" si="12"/>
        <v>0</v>
      </c>
      <c r="G104" s="4">
        <f t="shared" si="12"/>
        <v>0</v>
      </c>
      <c r="H104" s="4">
        <f t="shared" si="12"/>
        <v>0</v>
      </c>
      <c r="I104" s="4">
        <f t="shared" si="12"/>
        <v>0</v>
      </c>
      <c r="J104" s="4">
        <f t="shared" si="12"/>
        <v>296.399</v>
      </c>
      <c r="K104" s="4">
        <f t="shared" si="12"/>
        <v>1351.972</v>
      </c>
      <c r="L104" s="4">
        <f t="shared" si="12"/>
        <v>3584.598</v>
      </c>
      <c r="M104" s="4">
        <f t="shared" si="12"/>
        <v>6598.884</v>
      </c>
      <c r="N104" s="4">
        <f t="shared" si="12"/>
        <v>11506.220000000001</v>
      </c>
      <c r="O104" s="4">
        <f t="shared" si="12"/>
        <v>16929.914</v>
      </c>
      <c r="P104" s="4">
        <f t="shared" si="12"/>
        <v>23291.396999999997</v>
      </c>
      <c r="Q104" s="4">
        <f t="shared" si="12"/>
        <v>30168.344</v>
      </c>
      <c r="R104" s="4">
        <f t="shared" si="12"/>
        <v>37528.25</v>
      </c>
      <c r="S104" s="4">
        <f t="shared" si="12"/>
        <v>47407.335</v>
      </c>
      <c r="T104" s="4">
        <f t="shared" si="12"/>
        <v>56498.959</v>
      </c>
      <c r="U104" s="4">
        <f t="shared" si="12"/>
        <v>66013.17300000001</v>
      </c>
      <c r="V104" s="4">
        <f t="shared" si="12"/>
        <v>77007.496</v>
      </c>
    </row>
    <row r="105" spans="2:22" ht="12.75">
      <c r="B105" s="1" t="s">
        <v>34</v>
      </c>
      <c r="C105" s="4">
        <f>C86</f>
        <v>2490.384</v>
      </c>
      <c r="D105" s="4">
        <f aca="true" t="shared" si="13" ref="D105:V105">D86</f>
        <v>2514.944</v>
      </c>
      <c r="E105" s="4">
        <f t="shared" si="13"/>
        <v>2487.314</v>
      </c>
      <c r="F105" s="4">
        <f t="shared" si="13"/>
        <v>2532.75</v>
      </c>
      <c r="G105" s="4">
        <f t="shared" si="13"/>
        <v>2597.22</v>
      </c>
      <c r="H105" s="4">
        <f t="shared" si="13"/>
        <v>2658.006</v>
      </c>
      <c r="I105" s="4">
        <f t="shared" si="13"/>
        <v>2702.828</v>
      </c>
      <c r="J105" s="4">
        <f t="shared" si="13"/>
        <v>2710.196</v>
      </c>
      <c r="K105" s="4">
        <f t="shared" si="13"/>
        <v>2702.214</v>
      </c>
      <c r="L105" s="4">
        <f t="shared" si="13"/>
        <v>2686.25</v>
      </c>
      <c r="M105" s="4">
        <f t="shared" si="13"/>
        <v>2694.232</v>
      </c>
      <c r="N105" s="4">
        <f t="shared" si="13"/>
        <v>2710.196</v>
      </c>
      <c r="O105" s="4">
        <f t="shared" si="13"/>
        <v>2681.338</v>
      </c>
      <c r="P105" s="4">
        <f t="shared" si="13"/>
        <v>2664.76</v>
      </c>
      <c r="Q105" s="4">
        <f t="shared" si="13"/>
        <v>2535.206</v>
      </c>
      <c r="R105" s="4">
        <f t="shared" si="13"/>
        <v>2368.198</v>
      </c>
      <c r="S105" s="4">
        <f t="shared" si="13"/>
        <v>2275.484</v>
      </c>
      <c r="T105" s="4">
        <f t="shared" si="13"/>
        <v>2210.4</v>
      </c>
      <c r="U105" s="4">
        <f t="shared" si="13"/>
        <v>2072.864</v>
      </c>
      <c r="V105" s="4">
        <f t="shared" si="13"/>
        <v>2056.286</v>
      </c>
    </row>
    <row r="106" spans="2:22" ht="12.75">
      <c r="B106" s="85" t="s">
        <v>35</v>
      </c>
      <c r="C106" s="4">
        <f>SUM(C87:C93)</f>
        <v>199279.08299999998</v>
      </c>
      <c r="D106" s="4">
        <f aca="true" t="shared" si="14" ref="D106:V106">SUM(D87:D93)</f>
        <v>199350.462</v>
      </c>
      <c r="E106" s="4">
        <f t="shared" si="14"/>
        <v>200538.0755</v>
      </c>
      <c r="F106" s="4">
        <f t="shared" si="14"/>
        <v>200553.73150000002</v>
      </c>
      <c r="G106" s="4">
        <f t="shared" si="14"/>
        <v>200888.832</v>
      </c>
      <c r="H106" s="4">
        <f t="shared" si="14"/>
        <v>200749.982</v>
      </c>
      <c r="I106" s="4">
        <f t="shared" si="14"/>
        <v>200541.57</v>
      </c>
      <c r="J106" s="4">
        <f t="shared" si="14"/>
        <v>200324.75149999998</v>
      </c>
      <c r="K106" s="4">
        <f t="shared" si="14"/>
        <v>201113.916</v>
      </c>
      <c r="L106" s="4">
        <f t="shared" si="14"/>
        <v>199285.78650000002</v>
      </c>
      <c r="M106" s="4">
        <f t="shared" si="14"/>
        <v>197950.3195</v>
      </c>
      <c r="N106" s="4">
        <f t="shared" si="14"/>
        <v>197319.57249999998</v>
      </c>
      <c r="O106" s="4">
        <f t="shared" si="14"/>
        <v>196702.31299999997</v>
      </c>
      <c r="P106" s="4">
        <f t="shared" si="14"/>
        <v>194120.34649999999</v>
      </c>
      <c r="Q106" s="4">
        <f t="shared" si="14"/>
        <v>192052.22149999999</v>
      </c>
      <c r="R106" s="4">
        <f t="shared" si="14"/>
        <v>189142.75950000001</v>
      </c>
      <c r="S106" s="4">
        <f t="shared" si="14"/>
        <v>186407.4715</v>
      </c>
      <c r="T106" s="4">
        <f t="shared" si="14"/>
        <v>182275.37850000002</v>
      </c>
      <c r="U106" s="4">
        <f t="shared" si="14"/>
        <v>177361.6705</v>
      </c>
      <c r="V106" s="4">
        <f t="shared" si="14"/>
        <v>174313.084</v>
      </c>
    </row>
    <row r="107" spans="2:22" ht="13.5" thickBot="1">
      <c r="B107" s="2" t="s">
        <v>72</v>
      </c>
      <c r="C107" s="86">
        <f>C94</f>
        <v>0</v>
      </c>
      <c r="D107" s="86">
        <f aca="true" t="shared" si="15" ref="D107:V107">D94</f>
        <v>0</v>
      </c>
      <c r="E107" s="86">
        <f t="shared" si="15"/>
        <v>0</v>
      </c>
      <c r="F107" s="86">
        <f t="shared" si="15"/>
        <v>0</v>
      </c>
      <c r="G107" s="86">
        <f t="shared" si="15"/>
        <v>0</v>
      </c>
      <c r="H107" s="86">
        <f t="shared" si="15"/>
        <v>0</v>
      </c>
      <c r="I107" s="86">
        <f t="shared" si="15"/>
        <v>0</v>
      </c>
      <c r="J107" s="86">
        <f t="shared" si="15"/>
        <v>0</v>
      </c>
      <c r="K107" s="86">
        <f t="shared" si="15"/>
        <v>0</v>
      </c>
      <c r="L107" s="86">
        <f t="shared" si="15"/>
        <v>0</v>
      </c>
      <c r="M107" s="86">
        <f t="shared" si="15"/>
        <v>0</v>
      </c>
      <c r="N107" s="86">
        <f t="shared" si="15"/>
        <v>0</v>
      </c>
      <c r="O107" s="86">
        <f t="shared" si="15"/>
        <v>0</v>
      </c>
      <c r="P107" s="86">
        <f t="shared" si="15"/>
        <v>0</v>
      </c>
      <c r="Q107" s="86">
        <f t="shared" si="15"/>
        <v>0</v>
      </c>
      <c r="R107" s="86">
        <f t="shared" si="15"/>
        <v>0</v>
      </c>
      <c r="S107" s="86">
        <f t="shared" si="15"/>
        <v>0</v>
      </c>
      <c r="T107" s="86">
        <f t="shared" si="15"/>
        <v>0</v>
      </c>
      <c r="U107" s="86">
        <f t="shared" si="15"/>
        <v>0</v>
      </c>
      <c r="V107" s="86">
        <f t="shared" si="15"/>
        <v>88.457</v>
      </c>
    </row>
    <row r="108" spans="2:22" ht="13.5" thickTop="1">
      <c r="B108" s="3" t="s">
        <v>36</v>
      </c>
      <c r="C108" s="18">
        <f>SUM(C97:C107)</f>
        <v>2266481.4370000004</v>
      </c>
      <c r="D108" s="18">
        <f aca="true" t="shared" si="16" ref="D108:V108">SUM(D97:D107)</f>
        <v>2282503.4349999996</v>
      </c>
      <c r="E108" s="18">
        <f t="shared" si="16"/>
        <v>2318315.601</v>
      </c>
      <c r="F108" s="18">
        <f t="shared" si="16"/>
        <v>2342614.1275000004</v>
      </c>
      <c r="G108" s="18">
        <f t="shared" si="16"/>
        <v>2367986.7645000005</v>
      </c>
      <c r="H108" s="18">
        <f t="shared" si="16"/>
        <v>2390506.4675000003</v>
      </c>
      <c r="I108" s="18">
        <f t="shared" si="16"/>
        <v>2416465.5570000005</v>
      </c>
      <c r="J108" s="18">
        <f t="shared" si="16"/>
        <v>2439265.3445</v>
      </c>
      <c r="K108" s="18">
        <f t="shared" si="16"/>
        <v>2474786.1645000004</v>
      </c>
      <c r="L108" s="18">
        <f t="shared" si="16"/>
        <v>2475778.6185</v>
      </c>
      <c r="M108" s="18">
        <f t="shared" si="16"/>
        <v>2480318.7165</v>
      </c>
      <c r="N108" s="18">
        <f t="shared" si="16"/>
        <v>2498975.7425</v>
      </c>
      <c r="O108" s="18">
        <f t="shared" si="16"/>
        <v>2524217.6450000005</v>
      </c>
      <c r="P108" s="18">
        <f t="shared" si="16"/>
        <v>2539398.1647999994</v>
      </c>
      <c r="Q108" s="18">
        <f t="shared" si="16"/>
        <v>2555778.3733</v>
      </c>
      <c r="R108" s="18">
        <f t="shared" si="16"/>
        <v>2554262.7579</v>
      </c>
      <c r="S108" s="18">
        <f t="shared" si="16"/>
        <v>2574785.8468000004</v>
      </c>
      <c r="T108" s="18">
        <f t="shared" si="16"/>
        <v>2578071.5772999995</v>
      </c>
      <c r="U108" s="18">
        <f t="shared" si="16"/>
        <v>2556401.0212</v>
      </c>
      <c r="V108" s="18">
        <f t="shared" si="16"/>
        <v>2573757.652599999</v>
      </c>
    </row>
    <row r="109" spans="2:22" s="14" customFormat="1" ht="13.5" thickBot="1">
      <c r="B109" s="19" t="s">
        <v>37</v>
      </c>
      <c r="C109" s="20">
        <f>SUM(C97:C99)</f>
        <v>1113633.347</v>
      </c>
      <c r="D109" s="20">
        <f aca="true" t="shared" si="17" ref="D109:V109">SUM(D97:D99)</f>
        <v>1107406.855</v>
      </c>
      <c r="E109" s="20">
        <f t="shared" si="17"/>
        <v>1112176.6145</v>
      </c>
      <c r="F109" s="20">
        <f t="shared" si="17"/>
        <v>1111343.4530000002</v>
      </c>
      <c r="G109" s="20">
        <f t="shared" si="17"/>
        <v>1110004.7264999999</v>
      </c>
      <c r="H109" s="20">
        <f t="shared" si="17"/>
        <v>1105383.5385</v>
      </c>
      <c r="I109" s="20">
        <f t="shared" si="17"/>
        <v>1103581.855</v>
      </c>
      <c r="J109" s="20">
        <f t="shared" si="17"/>
        <v>1100610.0380000002</v>
      </c>
      <c r="K109" s="20">
        <f t="shared" si="17"/>
        <v>1102238.3555</v>
      </c>
      <c r="L109" s="20">
        <f t="shared" si="17"/>
        <v>1086206.1425</v>
      </c>
      <c r="M109" s="20">
        <f t="shared" si="17"/>
        <v>1072963.8905</v>
      </c>
      <c r="N109" s="20">
        <f t="shared" si="17"/>
        <v>1064295.838</v>
      </c>
      <c r="O109" s="20">
        <f t="shared" si="17"/>
        <v>1058601.1730000002</v>
      </c>
      <c r="P109" s="20">
        <f t="shared" si="17"/>
        <v>1050599.6109999998</v>
      </c>
      <c r="Q109" s="20">
        <f t="shared" si="17"/>
        <v>1040211.844</v>
      </c>
      <c r="R109" s="20">
        <f t="shared" si="17"/>
        <v>1018927.7905</v>
      </c>
      <c r="S109" s="20">
        <f t="shared" si="17"/>
        <v>1008751.8300000001</v>
      </c>
      <c r="T109" s="20">
        <f t="shared" si="17"/>
        <v>992430.4118</v>
      </c>
      <c r="U109" s="20">
        <f t="shared" si="17"/>
        <v>966141.3276000001</v>
      </c>
      <c r="V109" s="20">
        <f t="shared" si="17"/>
        <v>956930.1124</v>
      </c>
    </row>
    <row r="110" spans="2:22" s="14" customFormat="1" ht="14.25" thickBot="1" thickTop="1">
      <c r="B110" s="59" t="s">
        <v>40</v>
      </c>
      <c r="C110" s="60">
        <f>C97+C98+C100+C101+C102</f>
        <v>2035428.8135000002</v>
      </c>
      <c r="D110" s="60">
        <f aca="true" t="shared" si="18" ref="D110:V110">D97+D98+D100+D101+D102</f>
        <v>2040510.4285</v>
      </c>
      <c r="E110" s="60">
        <f t="shared" si="18"/>
        <v>2064708.3685</v>
      </c>
      <c r="F110" s="60">
        <f t="shared" si="18"/>
        <v>2077938.9630000002</v>
      </c>
      <c r="G110" s="60">
        <f t="shared" si="18"/>
        <v>2092017.9645000002</v>
      </c>
      <c r="H110" s="60">
        <f t="shared" si="18"/>
        <v>2102519.4850000003</v>
      </c>
      <c r="I110" s="60">
        <f t="shared" si="18"/>
        <v>2115578.3085000003</v>
      </c>
      <c r="J110" s="60">
        <f t="shared" si="18"/>
        <v>2124958.887</v>
      </c>
      <c r="K110" s="60">
        <f t="shared" si="18"/>
        <v>2146456.485</v>
      </c>
      <c r="L110" s="60">
        <f t="shared" si="18"/>
        <v>2137068.5415</v>
      </c>
      <c r="M110" s="60">
        <f t="shared" si="18"/>
        <v>2132219.306</v>
      </c>
      <c r="N110" s="60">
        <f t="shared" si="18"/>
        <v>2139339.1130000004</v>
      </c>
      <c r="O110" s="60">
        <f t="shared" si="18"/>
        <v>2153855.29</v>
      </c>
      <c r="P110" s="60">
        <f t="shared" si="18"/>
        <v>2160924.7073</v>
      </c>
      <c r="Q110" s="60">
        <f t="shared" si="18"/>
        <v>2167376.3643</v>
      </c>
      <c r="R110" s="60">
        <f t="shared" si="18"/>
        <v>2158289.1809</v>
      </c>
      <c r="S110" s="60">
        <f t="shared" si="18"/>
        <v>2164914.1385</v>
      </c>
      <c r="T110" s="60">
        <f t="shared" si="18"/>
        <v>2157019.1202</v>
      </c>
      <c r="U110" s="60">
        <f t="shared" si="18"/>
        <v>2126832.8663</v>
      </c>
      <c r="V110" s="60">
        <f t="shared" si="18"/>
        <v>2129734.5382</v>
      </c>
    </row>
    <row r="111" spans="2:22" s="14" customFormat="1" ht="13.5" thickTop="1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2:22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2:3" ht="12.75">
      <c r="B113" s="17"/>
      <c r="C113" s="16"/>
    </row>
    <row r="114" spans="2:22" ht="13.5" thickBot="1">
      <c r="B114" s="11" t="s">
        <v>0</v>
      </c>
      <c r="C114" s="12">
        <v>38504</v>
      </c>
      <c r="D114" s="12">
        <v>38534</v>
      </c>
      <c r="E114" s="12">
        <v>38565</v>
      </c>
      <c r="F114" s="12">
        <v>38596</v>
      </c>
      <c r="G114" s="12">
        <v>38626</v>
      </c>
      <c r="H114" s="12">
        <v>38657</v>
      </c>
      <c r="I114" s="12">
        <v>38687</v>
      </c>
      <c r="J114" s="12">
        <v>38718</v>
      </c>
      <c r="K114" s="12">
        <v>38749</v>
      </c>
      <c r="L114" s="12">
        <v>38777</v>
      </c>
      <c r="M114" s="12">
        <v>38808</v>
      </c>
      <c r="N114" s="12">
        <v>38838</v>
      </c>
      <c r="O114" s="12">
        <v>38869</v>
      </c>
      <c r="P114" s="12">
        <v>38899</v>
      </c>
      <c r="Q114" s="12">
        <v>38930</v>
      </c>
      <c r="R114" s="12">
        <v>38961</v>
      </c>
      <c r="S114" s="12">
        <v>38991</v>
      </c>
      <c r="T114" s="12">
        <v>39022</v>
      </c>
      <c r="U114" s="12">
        <v>39052</v>
      </c>
      <c r="V114" s="12">
        <v>39083</v>
      </c>
    </row>
    <row r="115" spans="2:22" ht="13.5" thickTop="1">
      <c r="B115" s="7" t="s">
        <v>27</v>
      </c>
      <c r="C115" s="10">
        <f aca="true" t="shared" si="19" ref="C115:Q115">C97/C$108</f>
        <v>0.1855036384310788</v>
      </c>
      <c r="D115" s="10">
        <f t="shared" si="19"/>
        <v>0.18216601150481954</v>
      </c>
      <c r="E115" s="10">
        <f t="shared" si="19"/>
        <v>0.1790916613427906</v>
      </c>
      <c r="F115" s="10">
        <f t="shared" si="19"/>
        <v>0.17573852076925117</v>
      </c>
      <c r="G115" s="10">
        <f t="shared" si="19"/>
        <v>0.1726165053487147</v>
      </c>
      <c r="H115" s="10">
        <f t="shared" si="19"/>
        <v>0.16970804472420864</v>
      </c>
      <c r="I115" s="10">
        <f t="shared" si="19"/>
        <v>0.16640001275217844</v>
      </c>
      <c r="J115" s="10">
        <f t="shared" si="19"/>
        <v>0.1629801820849015</v>
      </c>
      <c r="K115" s="10">
        <f t="shared" si="19"/>
        <v>0.15988737983749945</v>
      </c>
      <c r="L115" s="10">
        <f t="shared" si="19"/>
        <v>0.1559387620989748</v>
      </c>
      <c r="M115" s="10">
        <f t="shared" si="19"/>
        <v>0.15219964796810417</v>
      </c>
      <c r="N115" s="10">
        <f t="shared" si="19"/>
        <v>0.14879599016355796</v>
      </c>
      <c r="O115" s="10">
        <f t="shared" si="19"/>
        <v>0.1461538353203295</v>
      </c>
      <c r="P115" s="10">
        <f t="shared" si="19"/>
        <v>0.1443772400807715</v>
      </c>
      <c r="Q115" s="10">
        <f t="shared" si="19"/>
        <v>0.14203031933136673</v>
      </c>
      <c r="R115" s="10">
        <f aca="true" t="shared" si="20" ref="R115:V125">R97/R$108</f>
        <v>0.1405091642940718</v>
      </c>
      <c r="S115" s="10">
        <f t="shared" si="20"/>
        <v>0.13937991423481516</v>
      </c>
      <c r="T115" s="10">
        <f t="shared" si="20"/>
        <v>0.13787396270520144</v>
      </c>
      <c r="U115" s="10">
        <f t="shared" si="20"/>
        <v>0.1369122602821154</v>
      </c>
      <c r="V115" s="10">
        <f t="shared" si="20"/>
        <v>0.13599918941334752</v>
      </c>
    </row>
    <row r="116" spans="2:22" ht="12.75">
      <c r="B116" s="1" t="s">
        <v>28</v>
      </c>
      <c r="C116" s="5">
        <f aca="true" t="shared" si="21" ref="C116:Q116">C98/C$108</f>
        <v>0.30584534366076077</v>
      </c>
      <c r="D116" s="5">
        <f t="shared" si="21"/>
        <v>0.30300603162071477</v>
      </c>
      <c r="E116" s="5">
        <f t="shared" si="21"/>
        <v>0.30064311420729645</v>
      </c>
      <c r="F116" s="5">
        <f t="shared" si="21"/>
        <v>0.29866460006653395</v>
      </c>
      <c r="G116" s="5">
        <f t="shared" si="21"/>
        <v>0.2961381106570792</v>
      </c>
      <c r="H116" s="5">
        <f t="shared" si="21"/>
        <v>0.2926975389996513</v>
      </c>
      <c r="I116" s="5">
        <f t="shared" si="21"/>
        <v>0.29029255288491573</v>
      </c>
      <c r="J116" s="5">
        <f t="shared" si="21"/>
        <v>0.2882253583380092</v>
      </c>
      <c r="K116" s="5">
        <f t="shared" si="21"/>
        <v>0.28549993132143997</v>
      </c>
      <c r="L116" s="5">
        <f t="shared" si="21"/>
        <v>0.28279438406499835</v>
      </c>
      <c r="M116" s="5">
        <f t="shared" si="21"/>
        <v>0.2803914877445146</v>
      </c>
      <c r="N116" s="5">
        <f t="shared" si="21"/>
        <v>0.2770968346044279</v>
      </c>
      <c r="O116" s="5">
        <f t="shared" si="21"/>
        <v>0.2731319038061791</v>
      </c>
      <c r="P116" s="5">
        <f t="shared" si="21"/>
        <v>0.26899541236527563</v>
      </c>
      <c r="Q116" s="5">
        <f t="shared" si="21"/>
        <v>0.26431587126537803</v>
      </c>
      <c r="R116" s="5">
        <f t="shared" si="20"/>
        <v>0.2573252082101306</v>
      </c>
      <c r="S116" s="5">
        <f t="shared" si="20"/>
        <v>0.2505886526453777</v>
      </c>
      <c r="T116" s="5">
        <f t="shared" si="20"/>
        <v>0.24434277087051462</v>
      </c>
      <c r="U116" s="5">
        <f t="shared" si="20"/>
        <v>0.23730993012012966</v>
      </c>
      <c r="V116" s="5">
        <f t="shared" si="20"/>
        <v>0.23085671698723176</v>
      </c>
    </row>
    <row r="117" spans="2:22" ht="12.75">
      <c r="B117" s="1" t="s">
        <v>39</v>
      </c>
      <c r="C117" s="5">
        <f aca="true" t="shared" si="22" ref="C117:Q117">C99/C$108</f>
        <v>0</v>
      </c>
      <c r="D117" s="5">
        <f t="shared" si="22"/>
        <v>0</v>
      </c>
      <c r="E117" s="5">
        <f t="shared" si="22"/>
        <v>0</v>
      </c>
      <c r="F117" s="5">
        <f t="shared" si="22"/>
        <v>0</v>
      </c>
      <c r="G117" s="5">
        <f t="shared" si="22"/>
        <v>0</v>
      </c>
      <c r="H117" s="5">
        <f t="shared" si="22"/>
        <v>0</v>
      </c>
      <c r="I117" s="5">
        <f t="shared" si="22"/>
        <v>0</v>
      </c>
      <c r="J117" s="5">
        <f t="shared" si="22"/>
        <v>0</v>
      </c>
      <c r="K117" s="5">
        <f t="shared" si="22"/>
        <v>0</v>
      </c>
      <c r="L117" s="5">
        <f t="shared" si="22"/>
        <v>0</v>
      </c>
      <c r="M117" s="5">
        <f t="shared" si="22"/>
        <v>0</v>
      </c>
      <c r="N117" s="5">
        <f t="shared" si="22"/>
        <v>0</v>
      </c>
      <c r="O117" s="5">
        <f t="shared" si="22"/>
        <v>9.219173333209147E-05</v>
      </c>
      <c r="P117" s="5">
        <f t="shared" si="22"/>
        <v>0.00034726968469296903</v>
      </c>
      <c r="Q117" s="5">
        <f t="shared" si="22"/>
        <v>0.0006577401301934712</v>
      </c>
      <c r="R117" s="5">
        <f t="shared" si="20"/>
        <v>0.001078302923801166</v>
      </c>
      <c r="S117" s="5">
        <f t="shared" si="20"/>
        <v>0.0018122995766033738</v>
      </c>
      <c r="T117" s="5">
        <f t="shared" si="20"/>
        <v>0.002733948375235439</v>
      </c>
      <c r="U117" s="5">
        <f t="shared" si="20"/>
        <v>0.0037080793746320385</v>
      </c>
      <c r="V117" s="5">
        <f t="shared" si="20"/>
        <v>0.004946820026795558</v>
      </c>
    </row>
    <row r="118" spans="2:22" ht="12.75">
      <c r="B118" s="1" t="s">
        <v>29</v>
      </c>
      <c r="C118" s="5">
        <f aca="true" t="shared" si="23" ref="C118:C125">C100/C$108</f>
        <v>0.06454182730639323</v>
      </c>
      <c r="D118" s="5">
        <f aca="true" t="shared" si="24" ref="D118:Q118">D100/D$108</f>
        <v>0.06494476316089313</v>
      </c>
      <c r="E118" s="5">
        <f t="shared" si="24"/>
        <v>0.0648179537916158</v>
      </c>
      <c r="F118" s="5">
        <f t="shared" si="24"/>
        <v>0.0647907424096246</v>
      </c>
      <c r="G118" s="5">
        <f t="shared" si="24"/>
        <v>0.06490558976264074</v>
      </c>
      <c r="H118" s="5">
        <f t="shared" si="24"/>
        <v>0.06495945320005707</v>
      </c>
      <c r="I118" s="5">
        <f t="shared" si="24"/>
        <v>0.0648583455063084</v>
      </c>
      <c r="J118" s="5">
        <f t="shared" si="24"/>
        <v>0.06458301814323178</v>
      </c>
      <c r="K118" s="5">
        <f t="shared" si="24"/>
        <v>0.0648031095779144</v>
      </c>
      <c r="L118" s="5">
        <f t="shared" si="24"/>
        <v>0.0647249076725153</v>
      </c>
      <c r="M118" s="5">
        <f t="shared" si="24"/>
        <v>0.06440228827745492</v>
      </c>
      <c r="N118" s="5">
        <f t="shared" si="24"/>
        <v>0.0641722307554572</v>
      </c>
      <c r="O118" s="5">
        <f t="shared" si="24"/>
        <v>0.06392351698341764</v>
      </c>
      <c r="P118" s="5">
        <f t="shared" si="24"/>
        <v>0.06359163412749744</v>
      </c>
      <c r="Q118" s="5">
        <f t="shared" si="24"/>
        <v>0.06348871811231709</v>
      </c>
      <c r="R118" s="5">
        <f t="shared" si="20"/>
        <v>0.06368511128970095</v>
      </c>
      <c r="S118" s="5">
        <f t="shared" si="20"/>
        <v>0.06357579777108163</v>
      </c>
      <c r="T118" s="5">
        <f t="shared" si="20"/>
        <v>0.06340809864992264</v>
      </c>
      <c r="U118" s="5">
        <f t="shared" si="20"/>
        <v>0.06350135407307825</v>
      </c>
      <c r="V118" s="5">
        <f t="shared" si="20"/>
        <v>0.06344276336004241</v>
      </c>
    </row>
    <row r="119" spans="2:22" ht="12.75">
      <c r="B119" s="1" t="s">
        <v>30</v>
      </c>
      <c r="C119" s="5">
        <f t="shared" si="23"/>
        <v>0.30239252142615275</v>
      </c>
      <c r="D119" s="5">
        <f aca="true" t="shared" si="25" ref="D119:Q119">D101/D$108</f>
        <v>0.3028289149102639</v>
      </c>
      <c r="E119" s="5">
        <f t="shared" si="25"/>
        <v>0.30353683605306514</v>
      </c>
      <c r="F119" s="5">
        <f t="shared" si="25"/>
        <v>0.30374698766944064</v>
      </c>
      <c r="G119" s="5">
        <f t="shared" si="25"/>
        <v>0.3042234248518326</v>
      </c>
      <c r="H119" s="5">
        <f t="shared" si="25"/>
        <v>0.30499006001957196</v>
      </c>
      <c r="I119" s="5">
        <f t="shared" si="25"/>
        <v>0.30536008421989685</v>
      </c>
      <c r="J119" s="5">
        <f t="shared" si="25"/>
        <v>0.30579213109465797</v>
      </c>
      <c r="K119" s="5">
        <f t="shared" si="25"/>
        <v>0.3060639403376622</v>
      </c>
      <c r="L119" s="5">
        <f t="shared" si="25"/>
        <v>0.3064904084436013</v>
      </c>
      <c r="M119" s="5">
        <f t="shared" si="25"/>
        <v>0.3072621705550073</v>
      </c>
      <c r="N119" s="5">
        <f t="shared" si="25"/>
        <v>0.30811293919552724</v>
      </c>
      <c r="O119" s="5">
        <f t="shared" si="25"/>
        <v>0.309177326703934</v>
      </c>
      <c r="P119" s="5">
        <f t="shared" si="25"/>
        <v>0.3099839254873199</v>
      </c>
      <c r="Q119" s="5">
        <f t="shared" si="25"/>
        <v>0.3112119085947975</v>
      </c>
      <c r="R119" s="5">
        <f t="shared" si="20"/>
        <v>0.3128316650386221</v>
      </c>
      <c r="S119" s="5">
        <f t="shared" si="20"/>
        <v>0.31344683772556453</v>
      </c>
      <c r="T119" s="5">
        <f t="shared" si="20"/>
        <v>0.31360699567804046</v>
      </c>
      <c r="U119" s="5">
        <f t="shared" si="20"/>
        <v>0.3129341044952639</v>
      </c>
      <c r="V119" s="5">
        <f t="shared" si="20"/>
        <v>0.311765950919819</v>
      </c>
    </row>
    <row r="120" spans="2:22" ht="12.75">
      <c r="B120" s="1" t="s">
        <v>31</v>
      </c>
      <c r="C120" s="5">
        <f t="shared" si="23"/>
        <v>0.0397733575172449</v>
      </c>
      <c r="D120" s="5">
        <f aca="true" t="shared" si="26" ref="D120:Q120">D102/D$108</f>
        <v>0.041033405936582966</v>
      </c>
      <c r="E120" s="5">
        <f t="shared" si="26"/>
        <v>0.04251754936104578</v>
      </c>
      <c r="F120" s="5">
        <f t="shared" si="26"/>
        <v>0.044076323022174714</v>
      </c>
      <c r="G120" s="5">
        <f t="shared" si="26"/>
        <v>0.04557483961393145</v>
      </c>
      <c r="H120" s="5">
        <f t="shared" si="26"/>
        <v>0.04717378682431864</v>
      </c>
      <c r="I120" s="5">
        <f t="shared" si="26"/>
        <v>0.04857357439256064</v>
      </c>
      <c r="J120" s="5">
        <f t="shared" si="26"/>
        <v>0.04956639230439409</v>
      </c>
      <c r="K120" s="5">
        <f t="shared" si="26"/>
        <v>0.051075720122080864</v>
      </c>
      <c r="L120" s="5">
        <f t="shared" si="26"/>
        <v>0.05324202071825915</v>
      </c>
      <c r="M120" s="5">
        <f t="shared" si="26"/>
        <v>0.0553997762811302</v>
      </c>
      <c r="N120" s="5">
        <f t="shared" si="26"/>
        <v>0.057908391641780806</v>
      </c>
      <c r="O120" s="5">
        <f t="shared" si="26"/>
        <v>0.06088979542015679</v>
      </c>
      <c r="P120" s="5">
        <f t="shared" si="26"/>
        <v>0.06401117558214911</v>
      </c>
      <c r="Q120" s="5">
        <f t="shared" si="26"/>
        <v>0.06698303807890665</v>
      </c>
      <c r="R120" s="5">
        <f t="shared" si="20"/>
        <v>0.0706242454274011</v>
      </c>
      <c r="S120" s="5">
        <f t="shared" si="20"/>
        <v>0.07382207970275688</v>
      </c>
      <c r="T120" s="5">
        <f t="shared" si="20"/>
        <v>0.07744747114783687</v>
      </c>
      <c r="U120" s="5">
        <f t="shared" si="20"/>
        <v>0.08130605651316504</v>
      </c>
      <c r="V120" s="5">
        <f t="shared" si="20"/>
        <v>0.08541598381569394</v>
      </c>
    </row>
    <row r="121" spans="2:22" ht="12.75">
      <c r="B121" s="1" t="s">
        <v>32</v>
      </c>
      <c r="C121" s="5">
        <f t="shared" si="23"/>
        <v>0.012920095449252954</v>
      </c>
      <c r="D121" s="5">
        <f aca="true" t="shared" si="27" ref="D121:Q121">D103/D$108</f>
        <v>0.01758052140675092</v>
      </c>
      <c r="E121" s="5">
        <f t="shared" si="27"/>
        <v>0.021818359406364538</v>
      </c>
      <c r="F121" s="5">
        <f t="shared" si="27"/>
        <v>0.026290579518414514</v>
      </c>
      <c r="G121" s="5">
        <f t="shared" si="27"/>
        <v>0.030609439666908236</v>
      </c>
      <c r="H121" s="5">
        <f t="shared" si="27"/>
        <v>0.03538120295840613</v>
      </c>
      <c r="I121" s="5">
        <f t="shared" si="27"/>
        <v>0.040407300744324234</v>
      </c>
      <c r="J121" s="5">
        <f t="shared" si="27"/>
        <v>0.045495300972575266</v>
      </c>
      <c r="K121" s="5">
        <f t="shared" si="27"/>
        <v>0.04976655327507185</v>
      </c>
      <c r="L121" s="5">
        <f t="shared" si="27"/>
        <v>0.05378245110650228</v>
      </c>
      <c r="M121" s="5">
        <f t="shared" si="27"/>
        <v>0.05678946583073127</v>
      </c>
      <c r="N121" s="5">
        <f t="shared" si="27"/>
        <v>0.059264537258708505</v>
      </c>
      <c r="O121" s="5">
        <f t="shared" si="27"/>
        <v>0.0609361392844554</v>
      </c>
      <c r="P121" s="5">
        <f t="shared" si="27"/>
        <v>0.06202851533225619</v>
      </c>
      <c r="Q121" s="5">
        <f t="shared" si="27"/>
        <v>0.06337216137049938</v>
      </c>
      <c r="R121" s="5">
        <f t="shared" si="20"/>
        <v>0.06427690338130346</v>
      </c>
      <c r="S121" s="5">
        <f t="shared" si="20"/>
        <v>0.06568124285372313</v>
      </c>
      <c r="T121" s="5">
        <f t="shared" si="20"/>
        <v>0.06711194775329019</v>
      </c>
      <c r="U121" s="5">
        <f t="shared" si="20"/>
        <v>0.0683152244314242</v>
      </c>
      <c r="V121" s="5">
        <f t="shared" si="20"/>
        <v>0.0690919268643499</v>
      </c>
    </row>
    <row r="122" spans="2:22" ht="12.75">
      <c r="B122" s="1" t="s">
        <v>33</v>
      </c>
      <c r="C122" s="5">
        <f t="shared" si="23"/>
        <v>0</v>
      </c>
      <c r="D122" s="5">
        <f aca="true" t="shared" si="28" ref="D122:Q122">D104/D$108</f>
        <v>0</v>
      </c>
      <c r="E122" s="5">
        <f t="shared" si="28"/>
        <v>0</v>
      </c>
      <c r="F122" s="5">
        <f t="shared" si="28"/>
        <v>0</v>
      </c>
      <c r="G122" s="5">
        <f t="shared" si="28"/>
        <v>0</v>
      </c>
      <c r="H122" s="5">
        <f t="shared" si="28"/>
        <v>0</v>
      </c>
      <c r="I122" s="5">
        <f t="shared" si="28"/>
        <v>0</v>
      </c>
      <c r="J122" s="5">
        <f t="shared" si="28"/>
        <v>0.00012151158571916487</v>
      </c>
      <c r="K122" s="5">
        <f t="shared" si="28"/>
        <v>0.0005462985123295083</v>
      </c>
      <c r="L122" s="5">
        <f t="shared" si="28"/>
        <v>0.001447866934957133</v>
      </c>
      <c r="M122" s="5">
        <f t="shared" si="28"/>
        <v>0.002660498409378511</v>
      </c>
      <c r="N122" s="5">
        <f t="shared" si="28"/>
        <v>0.004604374426015462</v>
      </c>
      <c r="O122" s="5">
        <f t="shared" si="28"/>
        <v>0.006706994554742524</v>
      </c>
      <c r="P122" s="5">
        <f t="shared" si="28"/>
        <v>0.009172014583161836</v>
      </c>
      <c r="Q122" s="5">
        <f t="shared" si="28"/>
        <v>0.011803974990619739</v>
      </c>
      <c r="R122" s="5">
        <f t="shared" si="20"/>
        <v>0.014692399943557114</v>
      </c>
      <c r="S122" s="5">
        <f t="shared" si="20"/>
        <v>0.018412146803944436</v>
      </c>
      <c r="T122" s="5">
        <f t="shared" si="20"/>
        <v>0.021915201849892412</v>
      </c>
      <c r="U122" s="5">
        <f t="shared" si="20"/>
        <v>0.025822698572156248</v>
      </c>
      <c r="V122" s="5">
        <f t="shared" si="20"/>
        <v>0.02992025916745011</v>
      </c>
    </row>
    <row r="123" spans="2:22" ht="12.75">
      <c r="B123" s="1" t="s">
        <v>34</v>
      </c>
      <c r="C123" s="5">
        <f t="shared" si="23"/>
        <v>0.0010987886154039564</v>
      </c>
      <c r="D123" s="5">
        <f aca="true" t="shared" si="29" ref="D123:Q123">D105/D$108</f>
        <v>0.0011018358007421796</v>
      </c>
      <c r="E123" s="5">
        <f t="shared" si="29"/>
        <v>0.0010728970632501904</v>
      </c>
      <c r="F123" s="5">
        <f t="shared" si="29"/>
        <v>0.0010811639741551927</v>
      </c>
      <c r="G123" s="5">
        <f t="shared" si="29"/>
        <v>0.0010968051168767413</v>
      </c>
      <c r="H123" s="5">
        <f t="shared" si="29"/>
        <v>0.0011119007775702659</v>
      </c>
      <c r="I123" s="5">
        <f t="shared" si="29"/>
        <v>0.0011185046656967516</v>
      </c>
      <c r="J123" s="5">
        <f t="shared" si="29"/>
        <v>0.0011110705959525428</v>
      </c>
      <c r="K123" s="5">
        <f t="shared" si="29"/>
        <v>0.001091897974363352</v>
      </c>
      <c r="L123" s="5">
        <f t="shared" si="29"/>
        <v>0.001085012197749538</v>
      </c>
      <c r="M123" s="5">
        <f t="shared" si="29"/>
        <v>0.001086244272591651</v>
      </c>
      <c r="N123" s="5">
        <f t="shared" si="29"/>
        <v>0.0010845227322169573</v>
      </c>
      <c r="O123" s="5">
        <f t="shared" si="29"/>
        <v>0.001062245169433478</v>
      </c>
      <c r="P123" s="5">
        <f t="shared" si="29"/>
        <v>0.0010493667503338824</v>
      </c>
      <c r="Q123" s="5">
        <f t="shared" si="29"/>
        <v>0.0009919506427024667</v>
      </c>
      <c r="R123" s="5">
        <f t="shared" si="20"/>
        <v>0.0009271552007229772</v>
      </c>
      <c r="S123" s="5">
        <f t="shared" si="20"/>
        <v>0.0008837566055553788</v>
      </c>
      <c r="T123" s="5">
        <f t="shared" si="20"/>
        <v>0.0008573850390589</v>
      </c>
      <c r="U123" s="5">
        <f t="shared" si="20"/>
        <v>0.0008108524377865321</v>
      </c>
      <c r="V123" s="5">
        <f t="shared" si="20"/>
        <v>0.0007989431320088542</v>
      </c>
    </row>
    <row r="124" spans="2:22" ht="12.75">
      <c r="B124" s="1" t="s">
        <v>35</v>
      </c>
      <c r="C124" s="5">
        <f t="shared" si="23"/>
        <v>0.0879244275937125</v>
      </c>
      <c r="D124" s="5">
        <f aca="true" t="shared" si="30" ref="D124:Q125">D106/D$108</f>
        <v>0.08733851565923274</v>
      </c>
      <c r="E124" s="5">
        <f t="shared" si="30"/>
        <v>0.08650162877457167</v>
      </c>
      <c r="F124" s="5">
        <f t="shared" si="30"/>
        <v>0.08561108257040509</v>
      </c>
      <c r="G124" s="5">
        <f t="shared" si="30"/>
        <v>0.08483528498201619</v>
      </c>
      <c r="H124" s="5">
        <f t="shared" si="30"/>
        <v>0.08397801249621592</v>
      </c>
      <c r="I124" s="5">
        <f t="shared" si="30"/>
        <v>0.08298962483411881</v>
      </c>
      <c r="J124" s="5">
        <f t="shared" si="30"/>
        <v>0.08212503488055847</v>
      </c>
      <c r="K124" s="5">
        <f t="shared" si="30"/>
        <v>0.0812651690416382</v>
      </c>
      <c r="L124" s="5">
        <f t="shared" si="30"/>
        <v>0.08049418676244216</v>
      </c>
      <c r="M124" s="5">
        <f t="shared" si="30"/>
        <v>0.07980842066108725</v>
      </c>
      <c r="N124" s="5">
        <f t="shared" si="30"/>
        <v>0.0789601792223079</v>
      </c>
      <c r="O124" s="5">
        <f t="shared" si="30"/>
        <v>0.07792605102401934</v>
      </c>
      <c r="P124" s="5">
        <f t="shared" si="30"/>
        <v>0.07644344600654175</v>
      </c>
      <c r="Q124" s="5">
        <f t="shared" si="30"/>
        <v>0.07514431748321891</v>
      </c>
      <c r="R124" s="5">
        <f t="shared" si="20"/>
        <v>0.07404984429068867</v>
      </c>
      <c r="S124" s="5">
        <f t="shared" si="20"/>
        <v>0.0723972720805776</v>
      </c>
      <c r="T124" s="5">
        <f t="shared" si="20"/>
        <v>0.07070221793100719</v>
      </c>
      <c r="U124" s="5">
        <f t="shared" si="20"/>
        <v>0.06937943970024886</v>
      </c>
      <c r="V124" s="5">
        <f t="shared" si="20"/>
        <v>0.06772707749850095</v>
      </c>
    </row>
    <row r="125" spans="2:22" ht="13.5" thickBot="1">
      <c r="B125" s="87" t="s">
        <v>72</v>
      </c>
      <c r="C125" s="88">
        <f t="shared" si="23"/>
        <v>0</v>
      </c>
      <c r="D125" s="88">
        <f t="shared" si="30"/>
        <v>0</v>
      </c>
      <c r="E125" s="88">
        <f t="shared" si="30"/>
        <v>0</v>
      </c>
      <c r="F125" s="88">
        <f t="shared" si="30"/>
        <v>0</v>
      </c>
      <c r="G125" s="88">
        <f t="shared" si="30"/>
        <v>0</v>
      </c>
      <c r="H125" s="88">
        <f t="shared" si="30"/>
        <v>0</v>
      </c>
      <c r="I125" s="88">
        <f t="shared" si="30"/>
        <v>0</v>
      </c>
      <c r="J125" s="88">
        <f t="shared" si="30"/>
        <v>0</v>
      </c>
      <c r="K125" s="88">
        <f t="shared" si="30"/>
        <v>0</v>
      </c>
      <c r="L125" s="88">
        <f t="shared" si="30"/>
        <v>0</v>
      </c>
      <c r="M125" s="88">
        <f t="shared" si="30"/>
        <v>0</v>
      </c>
      <c r="N125" s="88">
        <f t="shared" si="30"/>
        <v>0</v>
      </c>
      <c r="O125" s="88">
        <f t="shared" si="30"/>
        <v>0</v>
      </c>
      <c r="P125" s="88">
        <f t="shared" si="30"/>
        <v>0</v>
      </c>
      <c r="Q125" s="88">
        <f t="shared" si="30"/>
        <v>0</v>
      </c>
      <c r="R125" s="88">
        <f t="shared" si="20"/>
        <v>0</v>
      </c>
      <c r="S125" s="88">
        <f t="shared" si="20"/>
        <v>0</v>
      </c>
      <c r="T125" s="88">
        <f t="shared" si="20"/>
        <v>0</v>
      </c>
      <c r="U125" s="88">
        <f t="shared" si="20"/>
        <v>0</v>
      </c>
      <c r="V125" s="88">
        <f t="shared" si="20"/>
        <v>3.436881476025573E-05</v>
      </c>
    </row>
    <row r="126" spans="2:22" ht="13.5" thickTop="1">
      <c r="B126" s="3" t="s">
        <v>36</v>
      </c>
      <c r="C126" s="6">
        <f>C108/C$108</f>
        <v>1</v>
      </c>
      <c r="D126" s="6">
        <f aca="true" t="shared" si="31" ref="D126:P126">D108/D$108</f>
        <v>1</v>
      </c>
      <c r="E126" s="6">
        <f t="shared" si="31"/>
        <v>1</v>
      </c>
      <c r="F126" s="6">
        <f t="shared" si="31"/>
        <v>1</v>
      </c>
      <c r="G126" s="6">
        <f t="shared" si="31"/>
        <v>1</v>
      </c>
      <c r="H126" s="6">
        <f t="shared" si="31"/>
        <v>1</v>
      </c>
      <c r="I126" s="6">
        <f t="shared" si="31"/>
        <v>1</v>
      </c>
      <c r="J126" s="6">
        <f t="shared" si="31"/>
        <v>1</v>
      </c>
      <c r="K126" s="6">
        <f t="shared" si="31"/>
        <v>1</v>
      </c>
      <c r="L126" s="6">
        <f t="shared" si="31"/>
        <v>1</v>
      </c>
      <c r="M126" s="6">
        <f t="shared" si="31"/>
        <v>1</v>
      </c>
      <c r="N126" s="6">
        <f t="shared" si="31"/>
        <v>1</v>
      </c>
      <c r="O126" s="6">
        <f t="shared" si="31"/>
        <v>1</v>
      </c>
      <c r="P126" s="6">
        <f t="shared" si="31"/>
        <v>1</v>
      </c>
      <c r="Q126" s="6">
        <f aca="true" t="shared" si="32" ref="Q126:V127">Q108/Q$108</f>
        <v>1</v>
      </c>
      <c r="R126" s="6">
        <f t="shared" si="32"/>
        <v>1</v>
      </c>
      <c r="S126" s="6">
        <f t="shared" si="32"/>
        <v>1</v>
      </c>
      <c r="T126" s="6">
        <f t="shared" si="32"/>
        <v>1</v>
      </c>
      <c r="U126" s="6">
        <f t="shared" si="32"/>
        <v>1</v>
      </c>
      <c r="V126" s="6">
        <f t="shared" si="32"/>
        <v>1</v>
      </c>
    </row>
    <row r="127" spans="2:22" ht="12.75">
      <c r="B127" s="62" t="s">
        <v>37</v>
      </c>
      <c r="C127" s="63">
        <f>C109/C$108</f>
        <v>0.4913489820918396</v>
      </c>
      <c r="D127" s="63">
        <f aca="true" t="shared" si="33" ref="D127:P127">D109/D$108</f>
        <v>0.4851720431255343</v>
      </c>
      <c r="E127" s="63">
        <f t="shared" si="33"/>
        <v>0.479734775550087</v>
      </c>
      <c r="F127" s="63">
        <f t="shared" si="33"/>
        <v>0.4744031208357852</v>
      </c>
      <c r="G127" s="63">
        <f t="shared" si="33"/>
        <v>0.4687546160057938</v>
      </c>
      <c r="H127" s="63">
        <f t="shared" si="33"/>
        <v>0.4624055837238599</v>
      </c>
      <c r="I127" s="63">
        <f t="shared" si="33"/>
        <v>0.45669256563709415</v>
      </c>
      <c r="J127" s="63">
        <f t="shared" si="33"/>
        <v>0.4512055404229108</v>
      </c>
      <c r="K127" s="63">
        <f t="shared" si="33"/>
        <v>0.4453873111589395</v>
      </c>
      <c r="L127" s="63">
        <f t="shared" si="33"/>
        <v>0.4387331461639732</v>
      </c>
      <c r="M127" s="63">
        <f t="shared" si="33"/>
        <v>0.43259113571261876</v>
      </c>
      <c r="N127" s="63">
        <f t="shared" si="33"/>
        <v>0.4258928247679859</v>
      </c>
      <c r="O127" s="63">
        <f t="shared" si="33"/>
        <v>0.4193779308598407</v>
      </c>
      <c r="P127" s="63">
        <f t="shared" si="33"/>
        <v>0.41371992213074</v>
      </c>
      <c r="Q127" s="63">
        <f t="shared" si="32"/>
        <v>0.4070039307269382</v>
      </c>
      <c r="R127" s="63">
        <f t="shared" si="32"/>
        <v>0.39891267542800357</v>
      </c>
      <c r="S127" s="63">
        <f t="shared" si="32"/>
        <v>0.3917808664567963</v>
      </c>
      <c r="T127" s="63">
        <f t="shared" si="32"/>
        <v>0.3849506819509515</v>
      </c>
      <c r="U127" s="63">
        <f t="shared" si="32"/>
        <v>0.3779302697768771</v>
      </c>
      <c r="V127" s="63">
        <f t="shared" si="32"/>
        <v>0.37180272642737483</v>
      </c>
    </row>
    <row r="128" spans="2:22" ht="13.5" thickBot="1">
      <c r="B128" s="59" t="s">
        <v>40</v>
      </c>
      <c r="C128" s="61">
        <f>C110/C108</f>
        <v>0.8980566883416304</v>
      </c>
      <c r="D128" s="61">
        <f aca="true" t="shared" si="34" ref="D128:Q128">D110/D108</f>
        <v>0.8939791271332743</v>
      </c>
      <c r="E128" s="61">
        <f t="shared" si="34"/>
        <v>0.8906071147558138</v>
      </c>
      <c r="F128" s="61">
        <f t="shared" si="34"/>
        <v>0.8870171739370252</v>
      </c>
      <c r="G128" s="61">
        <f t="shared" si="34"/>
        <v>0.8834584702341988</v>
      </c>
      <c r="H128" s="61">
        <f t="shared" si="34"/>
        <v>0.8795288837678077</v>
      </c>
      <c r="I128" s="61">
        <f t="shared" si="34"/>
        <v>0.8754845697558601</v>
      </c>
      <c r="J128" s="61">
        <f t="shared" si="34"/>
        <v>0.8711470819651945</v>
      </c>
      <c r="K128" s="61">
        <f t="shared" si="34"/>
        <v>0.8673300811965968</v>
      </c>
      <c r="L128" s="61">
        <f t="shared" si="34"/>
        <v>0.8631904829983489</v>
      </c>
      <c r="M128" s="61">
        <f t="shared" si="34"/>
        <v>0.8596553708262112</v>
      </c>
      <c r="N128" s="61">
        <f t="shared" si="34"/>
        <v>0.8560863863607513</v>
      </c>
      <c r="O128" s="61">
        <f t="shared" si="34"/>
        <v>0.853276378234017</v>
      </c>
      <c r="P128" s="61">
        <f t="shared" si="34"/>
        <v>0.8509593876430135</v>
      </c>
      <c r="Q128" s="61">
        <f t="shared" si="34"/>
        <v>0.848029855382766</v>
      </c>
      <c r="R128" s="61">
        <f>R110/R108</f>
        <v>0.8449753942599266</v>
      </c>
      <c r="S128" s="61">
        <f>S110/S108</f>
        <v>0.8408132820795958</v>
      </c>
      <c r="T128" s="61">
        <f>T110/T108</f>
        <v>0.836679299051516</v>
      </c>
      <c r="U128" s="61">
        <f>U110/U108</f>
        <v>0.8319637054837521</v>
      </c>
      <c r="V128" s="61">
        <f>V110/V108</f>
        <v>0.8274806044961346</v>
      </c>
    </row>
    <row r="129" ht="13.5" thickTop="1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8"/>
  <sheetViews>
    <sheetView workbookViewId="0" topLeftCell="AA109">
      <selection activeCell="AG109" sqref="AG109"/>
    </sheetView>
  </sheetViews>
  <sheetFormatPr defaultColWidth="11.421875" defaultRowHeight="12.75"/>
  <cols>
    <col min="2" max="2" width="26.8515625" style="0" bestFit="1" customWidth="1"/>
    <col min="3" max="16" width="11.28125" style="0" bestFit="1" customWidth="1"/>
  </cols>
  <sheetData>
    <row r="1" ht="18">
      <c r="B1" s="21" t="s">
        <v>79</v>
      </c>
    </row>
    <row r="3" spans="1:33" s="70" customFormat="1" ht="39" thickBot="1">
      <c r="A3" s="72" t="s">
        <v>76</v>
      </c>
      <c r="B3" s="78" t="s">
        <v>0</v>
      </c>
      <c r="C3" s="78" t="s">
        <v>101</v>
      </c>
      <c r="D3" s="78" t="s">
        <v>102</v>
      </c>
      <c r="E3" s="78" t="s">
        <v>103</v>
      </c>
      <c r="F3" s="78" t="s">
        <v>104</v>
      </c>
      <c r="G3" s="78" t="s">
        <v>105</v>
      </c>
      <c r="H3" s="78" t="s">
        <v>106</v>
      </c>
      <c r="I3" s="78" t="s">
        <v>107</v>
      </c>
      <c r="J3" s="78" t="s">
        <v>108</v>
      </c>
      <c r="K3" s="78" t="s">
        <v>109</v>
      </c>
      <c r="L3" s="78" t="s">
        <v>110</v>
      </c>
      <c r="M3" s="78" t="s">
        <v>111</v>
      </c>
      <c r="N3" s="78" t="s">
        <v>81</v>
      </c>
      <c r="O3" s="78" t="s">
        <v>82</v>
      </c>
      <c r="P3" s="78" t="s">
        <v>83</v>
      </c>
      <c r="Q3" s="78" t="s">
        <v>84</v>
      </c>
      <c r="R3" s="78" t="s">
        <v>85</v>
      </c>
      <c r="S3" s="78" t="s">
        <v>86</v>
      </c>
      <c r="T3" s="78" t="s">
        <v>87</v>
      </c>
      <c r="U3" s="78" t="s">
        <v>88</v>
      </c>
      <c r="V3" s="78" t="s">
        <v>112</v>
      </c>
      <c r="W3" s="78" t="s">
        <v>90</v>
      </c>
      <c r="X3" s="78" t="s">
        <v>91</v>
      </c>
      <c r="Y3" s="78" t="s">
        <v>92</v>
      </c>
      <c r="Z3" s="78" t="s">
        <v>93</v>
      </c>
      <c r="AA3" s="78" t="s">
        <v>94</v>
      </c>
      <c r="AB3" s="78" t="s">
        <v>95</v>
      </c>
      <c r="AC3" s="78" t="s">
        <v>96</v>
      </c>
      <c r="AD3" s="78" t="s">
        <v>97</v>
      </c>
      <c r="AE3" s="78" t="s">
        <v>98</v>
      </c>
      <c r="AF3" s="78" t="s">
        <v>99</v>
      </c>
      <c r="AG3" s="78" t="s">
        <v>100</v>
      </c>
    </row>
    <row r="4" spans="1:33" ht="26.25" thickTop="1">
      <c r="A4" s="101">
        <v>1</v>
      </c>
      <c r="B4" s="79" t="s">
        <v>43</v>
      </c>
      <c r="C4" s="101">
        <v>0</v>
      </c>
      <c r="D4" s="101">
        <v>0</v>
      </c>
      <c r="E4" s="101">
        <v>0</v>
      </c>
      <c r="F4" s="101">
        <v>0</v>
      </c>
      <c r="G4" s="101">
        <v>0</v>
      </c>
      <c r="H4" s="101">
        <v>0</v>
      </c>
      <c r="I4" s="101">
        <v>0</v>
      </c>
      <c r="J4" s="101">
        <v>0</v>
      </c>
      <c r="K4" s="101">
        <v>0</v>
      </c>
      <c r="L4" s="101">
        <v>0</v>
      </c>
      <c r="M4" s="101">
        <v>0</v>
      </c>
      <c r="N4" s="101">
        <v>0</v>
      </c>
      <c r="O4" s="101">
        <v>0</v>
      </c>
      <c r="P4" s="101">
        <v>0</v>
      </c>
      <c r="Q4" s="101">
        <v>0</v>
      </c>
      <c r="R4" s="101">
        <v>0</v>
      </c>
      <c r="S4" s="101">
        <v>0</v>
      </c>
      <c r="T4" s="101">
        <v>1</v>
      </c>
      <c r="U4" s="101">
        <v>8</v>
      </c>
      <c r="V4" s="101">
        <v>14</v>
      </c>
      <c r="W4" s="101">
        <v>16</v>
      </c>
      <c r="X4" s="101">
        <v>21</v>
      </c>
      <c r="Y4" s="101">
        <v>21</v>
      </c>
      <c r="Z4" s="101">
        <v>24</v>
      </c>
      <c r="AA4" s="101">
        <v>19</v>
      </c>
      <c r="AB4" s="101">
        <v>25</v>
      </c>
      <c r="AC4" s="101">
        <v>32</v>
      </c>
      <c r="AD4" s="101">
        <v>43</v>
      </c>
      <c r="AE4" s="101">
        <v>37</v>
      </c>
      <c r="AF4" s="101">
        <v>33</v>
      </c>
      <c r="AG4" s="101">
        <v>38</v>
      </c>
    </row>
    <row r="5" spans="1:33" ht="25.5">
      <c r="A5" s="101">
        <v>2</v>
      </c>
      <c r="B5" s="79" t="s">
        <v>44</v>
      </c>
      <c r="C5" s="101">
        <v>1270</v>
      </c>
      <c r="D5" s="101">
        <v>1206</v>
      </c>
      <c r="E5" s="101">
        <v>1234</v>
      </c>
      <c r="F5" s="101">
        <v>1240</v>
      </c>
      <c r="G5" s="101">
        <v>1273</v>
      </c>
      <c r="H5" s="101">
        <v>1280</v>
      </c>
      <c r="I5" s="101">
        <v>1250</v>
      </c>
      <c r="J5" s="101">
        <v>1127</v>
      </c>
      <c r="K5" s="101">
        <v>1347</v>
      </c>
      <c r="L5" s="101">
        <v>1245</v>
      </c>
      <c r="M5" s="101">
        <v>1350</v>
      </c>
      <c r="N5" s="101">
        <v>1337</v>
      </c>
      <c r="O5" s="101">
        <v>1260</v>
      </c>
      <c r="P5" s="101">
        <v>1324</v>
      </c>
      <c r="Q5" s="101">
        <v>1313</v>
      </c>
      <c r="R5" s="101">
        <v>1309</v>
      </c>
      <c r="S5" s="101">
        <v>1377</v>
      </c>
      <c r="T5" s="101">
        <v>1374</v>
      </c>
      <c r="U5" s="101">
        <v>1324</v>
      </c>
      <c r="V5" s="101">
        <v>1297</v>
      </c>
      <c r="W5" s="101">
        <v>1351</v>
      </c>
      <c r="X5" s="101">
        <v>1227</v>
      </c>
      <c r="Y5" s="101">
        <v>1300</v>
      </c>
      <c r="Z5" s="101">
        <v>1338</v>
      </c>
      <c r="AA5" s="101">
        <v>1239</v>
      </c>
      <c r="AB5" s="101">
        <v>1273</v>
      </c>
      <c r="AC5" s="101">
        <v>1233</v>
      </c>
      <c r="AD5" s="101">
        <v>1346</v>
      </c>
      <c r="AE5" s="101">
        <v>1325</v>
      </c>
      <c r="AF5" s="101">
        <v>1234</v>
      </c>
      <c r="AG5" s="101">
        <v>1368</v>
      </c>
    </row>
    <row r="6" spans="1:33" ht="25.5">
      <c r="A6" s="101">
        <v>3</v>
      </c>
      <c r="B6" s="79" t="s">
        <v>45</v>
      </c>
      <c r="C6" s="101">
        <v>209</v>
      </c>
      <c r="D6" s="101">
        <v>202</v>
      </c>
      <c r="E6" s="101">
        <v>227</v>
      </c>
      <c r="F6" s="101">
        <v>214</v>
      </c>
      <c r="G6" s="101">
        <v>225</v>
      </c>
      <c r="H6" s="101">
        <v>240</v>
      </c>
      <c r="I6" s="101">
        <v>232</v>
      </c>
      <c r="J6" s="101">
        <v>224</v>
      </c>
      <c r="K6" s="101">
        <v>279</v>
      </c>
      <c r="L6" s="101">
        <v>260</v>
      </c>
      <c r="M6" s="101">
        <v>258</v>
      </c>
      <c r="N6" s="101">
        <v>258</v>
      </c>
      <c r="O6" s="101">
        <v>255</v>
      </c>
      <c r="P6" s="101">
        <v>262</v>
      </c>
      <c r="Q6" s="101">
        <v>252</v>
      </c>
      <c r="R6" s="101">
        <v>265</v>
      </c>
      <c r="S6" s="101">
        <v>252</v>
      </c>
      <c r="T6" s="101">
        <v>263</v>
      </c>
      <c r="U6" s="101">
        <v>256</v>
      </c>
      <c r="V6" s="101">
        <v>253</v>
      </c>
      <c r="W6" s="101">
        <v>298</v>
      </c>
      <c r="X6" s="101">
        <v>241</v>
      </c>
      <c r="Y6" s="101">
        <v>269</v>
      </c>
      <c r="Z6" s="101">
        <v>266</v>
      </c>
      <c r="AA6" s="101">
        <v>257</v>
      </c>
      <c r="AB6" s="101">
        <v>265</v>
      </c>
      <c r="AC6" s="101">
        <v>246</v>
      </c>
      <c r="AD6" s="101">
        <v>272</v>
      </c>
      <c r="AE6" s="101">
        <v>266</v>
      </c>
      <c r="AF6" s="101">
        <v>258</v>
      </c>
      <c r="AG6" s="101">
        <v>284</v>
      </c>
    </row>
    <row r="7" spans="1:33" ht="25.5">
      <c r="A7" s="101">
        <v>4</v>
      </c>
      <c r="B7" s="79" t="s">
        <v>46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1</v>
      </c>
      <c r="AD7" s="101">
        <v>6</v>
      </c>
      <c r="AE7" s="101">
        <v>9</v>
      </c>
      <c r="AF7" s="101">
        <v>13</v>
      </c>
      <c r="AG7" s="101">
        <v>19</v>
      </c>
    </row>
    <row r="8" spans="1:33" ht="25.5">
      <c r="A8" s="101">
        <v>5</v>
      </c>
      <c r="B8" s="79" t="s">
        <v>47</v>
      </c>
      <c r="C8" s="101">
        <v>1769</v>
      </c>
      <c r="D8" s="101">
        <v>1608</v>
      </c>
      <c r="E8" s="101">
        <v>1723</v>
      </c>
      <c r="F8" s="101">
        <v>1710</v>
      </c>
      <c r="G8" s="101">
        <v>1751</v>
      </c>
      <c r="H8" s="101">
        <v>1767</v>
      </c>
      <c r="I8" s="101">
        <v>1734</v>
      </c>
      <c r="J8" s="101">
        <v>1568</v>
      </c>
      <c r="K8" s="101">
        <v>1828</v>
      </c>
      <c r="L8" s="101">
        <v>1709</v>
      </c>
      <c r="M8" s="101">
        <v>1752</v>
      </c>
      <c r="N8" s="101">
        <v>1718</v>
      </c>
      <c r="O8" s="101">
        <v>1692</v>
      </c>
      <c r="P8" s="101">
        <v>1621</v>
      </c>
      <c r="Q8" s="101">
        <v>1719</v>
      </c>
      <c r="R8" s="101">
        <v>1683</v>
      </c>
      <c r="S8" s="101">
        <v>1676</v>
      </c>
      <c r="T8" s="101">
        <v>1740</v>
      </c>
      <c r="U8" s="101">
        <v>1670</v>
      </c>
      <c r="V8" s="101">
        <v>1606</v>
      </c>
      <c r="W8" s="101">
        <v>1704</v>
      </c>
      <c r="X8" s="101">
        <v>1550</v>
      </c>
      <c r="Y8" s="101">
        <v>1669</v>
      </c>
      <c r="Z8" s="101">
        <v>1574</v>
      </c>
      <c r="AA8" s="101">
        <v>1522</v>
      </c>
      <c r="AB8" s="101">
        <v>1590</v>
      </c>
      <c r="AC8" s="101">
        <v>1465</v>
      </c>
      <c r="AD8" s="101">
        <v>1621</v>
      </c>
      <c r="AE8" s="101">
        <v>1567</v>
      </c>
      <c r="AF8" s="101">
        <v>1477</v>
      </c>
      <c r="AG8" s="101">
        <v>1639</v>
      </c>
    </row>
    <row r="9" spans="1:33" ht="25.5">
      <c r="A9" s="101">
        <v>6</v>
      </c>
      <c r="B9" s="79" t="s">
        <v>48</v>
      </c>
      <c r="C9" s="101">
        <v>618</v>
      </c>
      <c r="D9" s="101">
        <v>565</v>
      </c>
      <c r="E9" s="101">
        <v>611</v>
      </c>
      <c r="F9" s="101">
        <v>643</v>
      </c>
      <c r="G9" s="101">
        <v>656</v>
      </c>
      <c r="H9" s="101">
        <v>671</v>
      </c>
      <c r="I9" s="101">
        <v>628</v>
      </c>
      <c r="J9" s="101">
        <v>609</v>
      </c>
      <c r="K9" s="101">
        <v>728</v>
      </c>
      <c r="L9" s="101">
        <v>655</v>
      </c>
      <c r="M9" s="101">
        <v>706</v>
      </c>
      <c r="N9" s="101">
        <v>689</v>
      </c>
      <c r="O9" s="101">
        <v>649</v>
      </c>
      <c r="P9" s="101">
        <v>665</v>
      </c>
      <c r="Q9" s="101">
        <v>683</v>
      </c>
      <c r="R9" s="101">
        <v>691</v>
      </c>
      <c r="S9" s="101">
        <v>669</v>
      </c>
      <c r="T9" s="101">
        <v>711</v>
      </c>
      <c r="U9" s="101">
        <v>686</v>
      </c>
      <c r="V9" s="101">
        <v>645</v>
      </c>
      <c r="W9" s="101">
        <v>700</v>
      </c>
      <c r="X9" s="101">
        <v>641</v>
      </c>
      <c r="Y9" s="101">
        <v>684</v>
      </c>
      <c r="Z9" s="101">
        <v>689</v>
      </c>
      <c r="AA9" s="101">
        <v>634</v>
      </c>
      <c r="AB9" s="101">
        <v>648</v>
      </c>
      <c r="AC9" s="101">
        <v>581</v>
      </c>
      <c r="AD9" s="101">
        <v>639</v>
      </c>
      <c r="AE9" s="101">
        <v>634</v>
      </c>
      <c r="AF9" s="101">
        <v>589</v>
      </c>
      <c r="AG9" s="101">
        <v>666</v>
      </c>
    </row>
    <row r="10" spans="1:33" ht="12.75">
      <c r="A10" s="101">
        <v>7</v>
      </c>
      <c r="B10" s="79" t="s">
        <v>49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1">
        <v>9</v>
      </c>
      <c r="AA10" s="101">
        <v>20</v>
      </c>
      <c r="AB10" s="101">
        <v>30</v>
      </c>
      <c r="AC10" s="101">
        <v>40</v>
      </c>
      <c r="AD10" s="101">
        <v>64</v>
      </c>
      <c r="AE10" s="101">
        <v>78</v>
      </c>
      <c r="AF10" s="101">
        <v>85</v>
      </c>
      <c r="AG10" s="101">
        <v>106</v>
      </c>
    </row>
    <row r="11" spans="1:33" ht="25.5">
      <c r="A11" s="101">
        <v>8</v>
      </c>
      <c r="B11" s="79" t="s">
        <v>50</v>
      </c>
      <c r="C11" s="101">
        <v>98</v>
      </c>
      <c r="D11" s="101">
        <v>85</v>
      </c>
      <c r="E11" s="101">
        <v>84</v>
      </c>
      <c r="F11" s="101">
        <v>92</v>
      </c>
      <c r="G11" s="101">
        <v>90</v>
      </c>
      <c r="H11" s="101">
        <v>105</v>
      </c>
      <c r="I11" s="101">
        <v>105</v>
      </c>
      <c r="J11" s="101">
        <v>103</v>
      </c>
      <c r="K11" s="101">
        <v>108</v>
      </c>
      <c r="L11" s="101">
        <v>93</v>
      </c>
      <c r="M11" s="101">
        <v>103</v>
      </c>
      <c r="N11" s="101">
        <v>99</v>
      </c>
      <c r="O11" s="101">
        <v>104</v>
      </c>
      <c r="P11" s="101">
        <v>108</v>
      </c>
      <c r="Q11" s="101">
        <v>110</v>
      </c>
      <c r="R11" s="101">
        <v>110</v>
      </c>
      <c r="S11" s="101">
        <v>121</v>
      </c>
      <c r="T11" s="101">
        <v>121</v>
      </c>
      <c r="U11" s="101">
        <v>125</v>
      </c>
      <c r="V11" s="101">
        <v>120</v>
      </c>
      <c r="W11" s="101">
        <v>120</v>
      </c>
      <c r="X11" s="101">
        <v>118</v>
      </c>
      <c r="Y11" s="101">
        <v>114</v>
      </c>
      <c r="Z11" s="101">
        <v>108</v>
      </c>
      <c r="AA11" s="101">
        <v>112</v>
      </c>
      <c r="AB11" s="101">
        <v>111</v>
      </c>
      <c r="AC11" s="101">
        <v>105</v>
      </c>
      <c r="AD11" s="101">
        <v>119</v>
      </c>
      <c r="AE11" s="101">
        <v>112</v>
      </c>
      <c r="AF11" s="101">
        <v>110</v>
      </c>
      <c r="AG11" s="101">
        <v>111</v>
      </c>
    </row>
    <row r="12" spans="1:33" ht="25.5">
      <c r="A12" s="101">
        <v>9</v>
      </c>
      <c r="B12" s="79" t="s">
        <v>51</v>
      </c>
      <c r="C12" s="101">
        <v>173</v>
      </c>
      <c r="D12" s="101">
        <v>171</v>
      </c>
      <c r="E12" s="101">
        <v>172</v>
      </c>
      <c r="F12" s="101">
        <v>178</v>
      </c>
      <c r="G12" s="101">
        <v>185</v>
      </c>
      <c r="H12" s="101">
        <v>189</v>
      </c>
      <c r="I12" s="101">
        <v>181</v>
      </c>
      <c r="J12" s="101">
        <v>180</v>
      </c>
      <c r="K12" s="101">
        <v>195</v>
      </c>
      <c r="L12" s="101">
        <v>203</v>
      </c>
      <c r="M12" s="101">
        <v>201</v>
      </c>
      <c r="N12" s="101">
        <v>196</v>
      </c>
      <c r="O12" s="101">
        <v>189</v>
      </c>
      <c r="P12" s="101">
        <v>191</v>
      </c>
      <c r="Q12" s="101">
        <v>176</v>
      </c>
      <c r="R12" s="101">
        <v>184</v>
      </c>
      <c r="S12" s="101">
        <v>198</v>
      </c>
      <c r="T12" s="101">
        <v>191</v>
      </c>
      <c r="U12" s="101">
        <v>193</v>
      </c>
      <c r="V12" s="101">
        <v>191</v>
      </c>
      <c r="W12" s="101">
        <v>195</v>
      </c>
      <c r="X12" s="101">
        <v>176</v>
      </c>
      <c r="Y12" s="101">
        <v>182</v>
      </c>
      <c r="Z12" s="101">
        <v>184</v>
      </c>
      <c r="AA12" s="101">
        <v>179</v>
      </c>
      <c r="AB12" s="101">
        <v>180</v>
      </c>
      <c r="AC12" s="101">
        <v>167</v>
      </c>
      <c r="AD12" s="101">
        <v>208</v>
      </c>
      <c r="AE12" s="101">
        <v>185</v>
      </c>
      <c r="AF12" s="101">
        <v>167</v>
      </c>
      <c r="AG12" s="101">
        <v>174</v>
      </c>
    </row>
    <row r="13" spans="1:33" ht="25.5">
      <c r="A13" s="101">
        <v>10</v>
      </c>
      <c r="B13" s="79" t="s">
        <v>52</v>
      </c>
      <c r="C13" s="101">
        <v>238</v>
      </c>
      <c r="D13" s="101">
        <v>241</v>
      </c>
      <c r="E13" s="101">
        <v>247</v>
      </c>
      <c r="F13" s="101">
        <v>260</v>
      </c>
      <c r="G13" s="101">
        <v>273</v>
      </c>
      <c r="H13" s="101">
        <v>282</v>
      </c>
      <c r="I13" s="101">
        <v>288</v>
      </c>
      <c r="J13" s="101">
        <v>253</v>
      </c>
      <c r="K13" s="101">
        <v>329</v>
      </c>
      <c r="L13" s="101">
        <v>314</v>
      </c>
      <c r="M13" s="101">
        <v>313</v>
      </c>
      <c r="N13" s="101">
        <v>308</v>
      </c>
      <c r="O13" s="101">
        <v>295</v>
      </c>
      <c r="P13" s="101">
        <v>285</v>
      </c>
      <c r="Q13" s="101">
        <v>283</v>
      </c>
      <c r="R13" s="101">
        <v>306</v>
      </c>
      <c r="S13" s="101">
        <v>309</v>
      </c>
      <c r="T13" s="101">
        <v>331</v>
      </c>
      <c r="U13" s="101">
        <v>320</v>
      </c>
      <c r="V13" s="101">
        <v>329</v>
      </c>
      <c r="W13" s="101">
        <v>334</v>
      </c>
      <c r="X13" s="101">
        <v>314</v>
      </c>
      <c r="Y13" s="101">
        <v>332</v>
      </c>
      <c r="Z13" s="101">
        <v>322</v>
      </c>
      <c r="AA13" s="101">
        <v>314</v>
      </c>
      <c r="AB13" s="101">
        <v>315</v>
      </c>
      <c r="AC13" s="101">
        <v>305</v>
      </c>
      <c r="AD13" s="101">
        <v>332</v>
      </c>
      <c r="AE13" s="101">
        <v>305</v>
      </c>
      <c r="AF13" s="101">
        <v>305</v>
      </c>
      <c r="AG13" s="101">
        <v>308</v>
      </c>
    </row>
    <row r="14" spans="1:33" ht="12.75">
      <c r="A14" s="101">
        <v>11</v>
      </c>
      <c r="B14" s="79" t="s">
        <v>53</v>
      </c>
      <c r="C14" s="101">
        <v>1191</v>
      </c>
      <c r="D14" s="101">
        <v>1157</v>
      </c>
      <c r="E14" s="101">
        <v>1151</v>
      </c>
      <c r="F14" s="101">
        <v>1173</v>
      </c>
      <c r="G14" s="101">
        <v>1244</v>
      </c>
      <c r="H14" s="101">
        <v>1299</v>
      </c>
      <c r="I14" s="101">
        <v>1245</v>
      </c>
      <c r="J14" s="101">
        <v>1204</v>
      </c>
      <c r="K14" s="101">
        <v>1416</v>
      </c>
      <c r="L14" s="101">
        <v>1380</v>
      </c>
      <c r="M14" s="101">
        <v>1405</v>
      </c>
      <c r="N14" s="101">
        <v>1338</v>
      </c>
      <c r="O14" s="101">
        <v>1323</v>
      </c>
      <c r="P14" s="101">
        <v>1347</v>
      </c>
      <c r="Q14" s="101">
        <v>1330</v>
      </c>
      <c r="R14" s="101">
        <v>1379</v>
      </c>
      <c r="S14" s="101">
        <v>1453</v>
      </c>
      <c r="T14" s="101">
        <v>1455</v>
      </c>
      <c r="U14" s="101">
        <v>1435</v>
      </c>
      <c r="V14" s="101">
        <v>1454</v>
      </c>
      <c r="W14" s="101">
        <v>1523</v>
      </c>
      <c r="X14" s="101">
        <v>1458</v>
      </c>
      <c r="Y14" s="101">
        <v>1550</v>
      </c>
      <c r="Z14" s="101">
        <v>1520</v>
      </c>
      <c r="AA14" s="101">
        <v>1440</v>
      </c>
      <c r="AB14" s="101">
        <v>1479</v>
      </c>
      <c r="AC14" s="101">
        <v>1428</v>
      </c>
      <c r="AD14" s="101">
        <v>1515</v>
      </c>
      <c r="AE14" s="101">
        <v>1482</v>
      </c>
      <c r="AF14" s="101">
        <v>1444</v>
      </c>
      <c r="AG14" s="101">
        <v>1526</v>
      </c>
    </row>
    <row r="15" spans="1:33" ht="12.75">
      <c r="A15" s="101">
        <v>12</v>
      </c>
      <c r="B15" s="79" t="s">
        <v>54</v>
      </c>
      <c r="C15" s="101">
        <v>418</v>
      </c>
      <c r="D15" s="101">
        <v>393</v>
      </c>
      <c r="E15" s="101">
        <v>444</v>
      </c>
      <c r="F15" s="101">
        <v>458</v>
      </c>
      <c r="G15" s="101">
        <v>471</v>
      </c>
      <c r="H15" s="101">
        <v>482</v>
      </c>
      <c r="I15" s="101">
        <v>477</v>
      </c>
      <c r="J15" s="101">
        <v>467</v>
      </c>
      <c r="K15" s="101">
        <v>546</v>
      </c>
      <c r="L15" s="101">
        <v>500</v>
      </c>
      <c r="M15" s="101">
        <v>517</v>
      </c>
      <c r="N15" s="101">
        <v>491</v>
      </c>
      <c r="O15" s="101">
        <v>481</v>
      </c>
      <c r="P15" s="101">
        <v>479</v>
      </c>
      <c r="Q15" s="101">
        <v>516</v>
      </c>
      <c r="R15" s="101">
        <v>498</v>
      </c>
      <c r="S15" s="101">
        <v>514</v>
      </c>
      <c r="T15" s="101">
        <v>530</v>
      </c>
      <c r="U15" s="101">
        <v>515</v>
      </c>
      <c r="V15" s="101">
        <v>501</v>
      </c>
      <c r="W15" s="101">
        <v>554</v>
      </c>
      <c r="X15" s="101">
        <v>532</v>
      </c>
      <c r="Y15" s="101">
        <v>556</v>
      </c>
      <c r="Z15" s="101">
        <v>560</v>
      </c>
      <c r="AA15" s="101">
        <v>534</v>
      </c>
      <c r="AB15" s="101">
        <v>555</v>
      </c>
      <c r="AC15" s="101">
        <v>544</v>
      </c>
      <c r="AD15" s="101">
        <v>564</v>
      </c>
      <c r="AE15" s="101">
        <v>538</v>
      </c>
      <c r="AF15" s="101">
        <v>538</v>
      </c>
      <c r="AG15" s="101">
        <v>560</v>
      </c>
    </row>
    <row r="16" spans="1:33" ht="12.75">
      <c r="A16" s="101">
        <v>13</v>
      </c>
      <c r="B16" s="79" t="s">
        <v>55</v>
      </c>
      <c r="C16" s="101">
        <v>346</v>
      </c>
      <c r="D16" s="101">
        <v>347</v>
      </c>
      <c r="E16" s="101">
        <v>373</v>
      </c>
      <c r="F16" s="101">
        <v>360</v>
      </c>
      <c r="G16" s="101">
        <v>374</v>
      </c>
      <c r="H16" s="101">
        <v>377</v>
      </c>
      <c r="I16" s="101">
        <v>372</v>
      </c>
      <c r="J16" s="101">
        <v>335</v>
      </c>
      <c r="K16" s="101">
        <v>406</v>
      </c>
      <c r="L16" s="101">
        <v>394</v>
      </c>
      <c r="M16" s="101">
        <v>388</v>
      </c>
      <c r="N16" s="101">
        <v>383</v>
      </c>
      <c r="O16" s="101">
        <v>378</v>
      </c>
      <c r="P16" s="101">
        <v>391</v>
      </c>
      <c r="Q16" s="101">
        <v>388</v>
      </c>
      <c r="R16" s="101">
        <v>404</v>
      </c>
      <c r="S16" s="101">
        <v>406</v>
      </c>
      <c r="T16" s="101">
        <v>414</v>
      </c>
      <c r="U16" s="101">
        <v>399</v>
      </c>
      <c r="V16" s="101">
        <v>399</v>
      </c>
      <c r="W16" s="101">
        <v>394</v>
      </c>
      <c r="X16" s="101">
        <v>380</v>
      </c>
      <c r="Y16" s="101">
        <v>402</v>
      </c>
      <c r="Z16" s="101">
        <v>410</v>
      </c>
      <c r="AA16" s="101">
        <v>377</v>
      </c>
      <c r="AB16" s="101">
        <v>392</v>
      </c>
      <c r="AC16" s="101">
        <v>373</v>
      </c>
      <c r="AD16" s="101">
        <v>374</v>
      </c>
      <c r="AE16" s="101">
        <v>373</v>
      </c>
      <c r="AF16" s="101">
        <v>377</v>
      </c>
      <c r="AG16" s="101">
        <v>404</v>
      </c>
    </row>
    <row r="17" spans="1:33" ht="12.75">
      <c r="A17" s="101">
        <v>14</v>
      </c>
      <c r="B17" s="79" t="s">
        <v>56</v>
      </c>
      <c r="C17" s="101">
        <v>18</v>
      </c>
      <c r="D17" s="101">
        <v>17</v>
      </c>
      <c r="E17" s="101">
        <v>20</v>
      </c>
      <c r="F17" s="101">
        <v>22</v>
      </c>
      <c r="G17" s="101">
        <v>22</v>
      </c>
      <c r="H17" s="101">
        <v>28</v>
      </c>
      <c r="I17" s="101">
        <v>30</v>
      </c>
      <c r="J17" s="101">
        <v>22</v>
      </c>
      <c r="K17" s="101">
        <v>29</v>
      </c>
      <c r="L17" s="101">
        <v>32</v>
      </c>
      <c r="M17" s="101">
        <v>29</v>
      </c>
      <c r="N17" s="101">
        <v>34</v>
      </c>
      <c r="O17" s="101">
        <v>36</v>
      </c>
      <c r="P17" s="101">
        <v>38</v>
      </c>
      <c r="Q17" s="101">
        <v>41</v>
      </c>
      <c r="R17" s="101">
        <v>36</v>
      </c>
      <c r="S17" s="101">
        <v>46</v>
      </c>
      <c r="T17" s="101">
        <v>51</v>
      </c>
      <c r="U17" s="101">
        <v>45</v>
      </c>
      <c r="V17" s="101">
        <v>51</v>
      </c>
      <c r="W17" s="101">
        <v>60</v>
      </c>
      <c r="X17" s="101">
        <v>53</v>
      </c>
      <c r="Y17" s="101">
        <v>62</v>
      </c>
      <c r="Z17" s="101">
        <v>64</v>
      </c>
      <c r="AA17" s="101">
        <v>72</v>
      </c>
      <c r="AB17" s="101">
        <v>72</v>
      </c>
      <c r="AC17" s="101">
        <v>66</v>
      </c>
      <c r="AD17" s="101">
        <v>75</v>
      </c>
      <c r="AE17" s="101">
        <v>71</v>
      </c>
      <c r="AF17" s="101">
        <v>55</v>
      </c>
      <c r="AG17" s="101">
        <v>66</v>
      </c>
    </row>
    <row r="18" spans="1:33" ht="12.75">
      <c r="A18" s="101">
        <v>15</v>
      </c>
      <c r="B18" s="79" t="s">
        <v>57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44</v>
      </c>
      <c r="W18" s="101">
        <v>111</v>
      </c>
      <c r="X18" s="101">
        <v>141</v>
      </c>
      <c r="Y18" s="101">
        <v>208</v>
      </c>
      <c r="Z18" s="101">
        <v>284</v>
      </c>
      <c r="AA18" s="101">
        <v>298</v>
      </c>
      <c r="AB18" s="101">
        <v>324</v>
      </c>
      <c r="AC18" s="101">
        <v>392</v>
      </c>
      <c r="AD18" s="101">
        <v>435</v>
      </c>
      <c r="AE18" s="101">
        <v>459</v>
      </c>
      <c r="AF18" s="101">
        <v>456</v>
      </c>
      <c r="AG18" s="101">
        <v>523</v>
      </c>
    </row>
    <row r="19" spans="1:33" ht="12.75">
      <c r="A19" s="101">
        <v>16</v>
      </c>
      <c r="B19" s="79" t="s">
        <v>58</v>
      </c>
      <c r="C19" s="101">
        <v>201</v>
      </c>
      <c r="D19" s="101">
        <v>195</v>
      </c>
      <c r="E19" s="101">
        <v>200</v>
      </c>
      <c r="F19" s="101">
        <v>225</v>
      </c>
      <c r="G19" s="101">
        <v>244</v>
      </c>
      <c r="H19" s="101">
        <v>257</v>
      </c>
      <c r="I19" s="101">
        <v>279</v>
      </c>
      <c r="J19" s="101">
        <v>259</v>
      </c>
      <c r="K19" s="101">
        <v>331</v>
      </c>
      <c r="L19" s="101">
        <v>317</v>
      </c>
      <c r="M19" s="101">
        <v>348</v>
      </c>
      <c r="N19" s="101">
        <v>335</v>
      </c>
      <c r="O19" s="101">
        <v>324</v>
      </c>
      <c r="P19" s="101">
        <v>336</v>
      </c>
      <c r="Q19" s="101">
        <v>348</v>
      </c>
      <c r="R19" s="101">
        <v>369</v>
      </c>
      <c r="S19" s="101">
        <v>397</v>
      </c>
      <c r="T19" s="101">
        <v>409</v>
      </c>
      <c r="U19" s="101">
        <v>396</v>
      </c>
      <c r="V19" s="101">
        <v>420</v>
      </c>
      <c r="W19" s="101">
        <v>453</v>
      </c>
      <c r="X19" s="101">
        <v>424</v>
      </c>
      <c r="Y19" s="101">
        <v>463</v>
      </c>
      <c r="Z19" s="101">
        <v>456</v>
      </c>
      <c r="AA19" s="101">
        <v>445</v>
      </c>
      <c r="AB19" s="101">
        <v>444</v>
      </c>
      <c r="AC19" s="101">
        <v>447</v>
      </c>
      <c r="AD19" s="101">
        <v>449</v>
      </c>
      <c r="AE19" s="101">
        <v>460</v>
      </c>
      <c r="AF19" s="101">
        <v>428</v>
      </c>
      <c r="AG19" s="101">
        <v>464</v>
      </c>
    </row>
    <row r="20" spans="1:33" ht="12.75">
      <c r="A20" s="101">
        <v>17</v>
      </c>
      <c r="B20" s="79" t="s">
        <v>59</v>
      </c>
      <c r="C20" s="101">
        <v>18</v>
      </c>
      <c r="D20" s="101">
        <v>18</v>
      </c>
      <c r="E20" s="101">
        <v>16</v>
      </c>
      <c r="F20" s="101">
        <v>25</v>
      </c>
      <c r="G20" s="101">
        <v>29</v>
      </c>
      <c r="H20" s="101">
        <v>32</v>
      </c>
      <c r="I20" s="101">
        <v>36</v>
      </c>
      <c r="J20" s="101">
        <v>28</v>
      </c>
      <c r="K20" s="101">
        <v>34</v>
      </c>
      <c r="L20" s="101">
        <v>28</v>
      </c>
      <c r="M20" s="101">
        <v>32</v>
      </c>
      <c r="N20" s="101">
        <v>32</v>
      </c>
      <c r="O20" s="101">
        <v>37</v>
      </c>
      <c r="P20" s="101">
        <v>44</v>
      </c>
      <c r="Q20" s="101">
        <v>44</v>
      </c>
      <c r="R20" s="101">
        <v>44</v>
      </c>
      <c r="S20" s="101">
        <v>47</v>
      </c>
      <c r="T20" s="101">
        <v>46</v>
      </c>
      <c r="U20" s="101">
        <v>50</v>
      </c>
      <c r="V20" s="101">
        <v>43</v>
      </c>
      <c r="W20" s="101">
        <v>55</v>
      </c>
      <c r="X20" s="101">
        <v>52</v>
      </c>
      <c r="Y20" s="101">
        <v>57</v>
      </c>
      <c r="Z20" s="101">
        <v>56</v>
      </c>
      <c r="AA20" s="101">
        <v>53</v>
      </c>
      <c r="AB20" s="101">
        <v>55</v>
      </c>
      <c r="AC20" s="101">
        <v>59</v>
      </c>
      <c r="AD20" s="101">
        <v>60</v>
      </c>
      <c r="AE20" s="101">
        <v>64</v>
      </c>
      <c r="AF20" s="101">
        <v>59</v>
      </c>
      <c r="AG20" s="101">
        <v>72</v>
      </c>
    </row>
    <row r="21" spans="1:33" ht="12.75">
      <c r="A21" s="101">
        <v>18</v>
      </c>
      <c r="B21" s="79" t="s">
        <v>60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6</v>
      </c>
      <c r="J21" s="101">
        <v>43</v>
      </c>
      <c r="K21" s="101">
        <v>120</v>
      </c>
      <c r="L21" s="101">
        <v>155</v>
      </c>
      <c r="M21" s="101">
        <v>193</v>
      </c>
      <c r="N21" s="101">
        <v>216</v>
      </c>
      <c r="O21" s="101">
        <v>258</v>
      </c>
      <c r="P21" s="101">
        <v>260</v>
      </c>
      <c r="Q21" s="101">
        <v>271</v>
      </c>
      <c r="R21" s="101">
        <v>279</v>
      </c>
      <c r="S21" s="101">
        <v>304</v>
      </c>
      <c r="T21" s="101">
        <v>331</v>
      </c>
      <c r="U21" s="101">
        <v>342</v>
      </c>
      <c r="V21" s="101">
        <v>360</v>
      </c>
      <c r="W21" s="101">
        <v>365</v>
      </c>
      <c r="X21" s="101">
        <v>363</v>
      </c>
      <c r="Y21" s="101">
        <v>375</v>
      </c>
      <c r="Z21" s="101">
        <v>363</v>
      </c>
      <c r="AA21" s="101">
        <v>368</v>
      </c>
      <c r="AB21" s="101">
        <v>365</v>
      </c>
      <c r="AC21" s="101">
        <v>327</v>
      </c>
      <c r="AD21" s="101">
        <v>374</v>
      </c>
      <c r="AE21" s="101">
        <v>398</v>
      </c>
      <c r="AF21" s="101">
        <v>371</v>
      </c>
      <c r="AG21" s="101">
        <v>398</v>
      </c>
    </row>
    <row r="22" spans="1:33" ht="12.75">
      <c r="A22" s="101">
        <v>19</v>
      </c>
      <c r="B22" s="79" t="s">
        <v>61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3</v>
      </c>
      <c r="V22" s="101">
        <v>10</v>
      </c>
      <c r="W22" s="101">
        <v>23</v>
      </c>
      <c r="X22" s="101">
        <v>33</v>
      </c>
      <c r="Y22" s="101">
        <v>46</v>
      </c>
      <c r="Z22" s="101">
        <v>52</v>
      </c>
      <c r="AA22" s="101">
        <v>69</v>
      </c>
      <c r="AB22" s="101">
        <v>60</v>
      </c>
      <c r="AC22" s="101">
        <v>76</v>
      </c>
      <c r="AD22" s="101">
        <v>95</v>
      </c>
      <c r="AE22" s="101">
        <v>101</v>
      </c>
      <c r="AF22" s="101">
        <v>105</v>
      </c>
      <c r="AG22" s="101">
        <v>120</v>
      </c>
    </row>
    <row r="23" spans="1:33" ht="12.75">
      <c r="A23" s="101">
        <v>20</v>
      </c>
      <c r="B23" s="79" t="s">
        <v>62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2</v>
      </c>
      <c r="V23" s="101">
        <v>7</v>
      </c>
      <c r="W23" s="101">
        <v>15</v>
      </c>
      <c r="X23" s="101">
        <v>20</v>
      </c>
      <c r="Y23" s="101">
        <v>34</v>
      </c>
      <c r="Z23" s="101">
        <v>38</v>
      </c>
      <c r="AA23" s="101">
        <v>44</v>
      </c>
      <c r="AB23" s="101">
        <v>49</v>
      </c>
      <c r="AC23" s="101">
        <v>51</v>
      </c>
      <c r="AD23" s="101">
        <v>71</v>
      </c>
      <c r="AE23" s="101">
        <v>61</v>
      </c>
      <c r="AF23" s="101">
        <v>59</v>
      </c>
      <c r="AG23" s="101">
        <v>71</v>
      </c>
    </row>
    <row r="24" spans="1:33" ht="12.75">
      <c r="A24" s="101">
        <v>21</v>
      </c>
      <c r="B24" s="79" t="s">
        <v>63</v>
      </c>
      <c r="C24" s="101">
        <v>22</v>
      </c>
      <c r="D24" s="101">
        <v>26</v>
      </c>
      <c r="E24" s="101">
        <v>23</v>
      </c>
      <c r="F24" s="101">
        <v>16</v>
      </c>
      <c r="G24" s="101">
        <v>17</v>
      </c>
      <c r="H24" s="101">
        <v>19</v>
      </c>
      <c r="I24" s="101">
        <v>15</v>
      </c>
      <c r="J24" s="101">
        <v>15</v>
      </c>
      <c r="K24" s="101">
        <v>16</v>
      </c>
      <c r="L24" s="101">
        <v>16</v>
      </c>
      <c r="M24" s="101">
        <v>19</v>
      </c>
      <c r="N24" s="101">
        <v>20</v>
      </c>
      <c r="O24" s="101">
        <v>23</v>
      </c>
      <c r="P24" s="101">
        <v>23</v>
      </c>
      <c r="Q24" s="101">
        <v>22</v>
      </c>
      <c r="R24" s="101">
        <v>22</v>
      </c>
      <c r="S24" s="101">
        <v>23</v>
      </c>
      <c r="T24" s="101">
        <v>24</v>
      </c>
      <c r="U24" s="101">
        <v>18</v>
      </c>
      <c r="V24" s="101">
        <v>16</v>
      </c>
      <c r="W24" s="101">
        <v>16</v>
      </c>
      <c r="X24" s="101">
        <v>17</v>
      </c>
      <c r="Y24" s="101">
        <v>20</v>
      </c>
      <c r="Z24" s="101">
        <v>20</v>
      </c>
      <c r="AA24" s="101">
        <v>21</v>
      </c>
      <c r="AB24" s="101">
        <v>14</v>
      </c>
      <c r="AC24" s="101">
        <v>12</v>
      </c>
      <c r="AD24" s="101">
        <v>14</v>
      </c>
      <c r="AE24" s="101">
        <v>17</v>
      </c>
      <c r="AF24" s="101">
        <v>11</v>
      </c>
      <c r="AG24" s="101">
        <v>14</v>
      </c>
    </row>
    <row r="25" spans="1:33" ht="25.5">
      <c r="A25" s="101">
        <v>22</v>
      </c>
      <c r="B25" s="79" t="s">
        <v>64</v>
      </c>
      <c r="C25" s="101">
        <v>91</v>
      </c>
      <c r="D25" s="101">
        <v>93</v>
      </c>
      <c r="E25" s="101">
        <v>92</v>
      </c>
      <c r="F25" s="101">
        <v>91</v>
      </c>
      <c r="G25" s="101">
        <v>96</v>
      </c>
      <c r="H25" s="101">
        <v>111</v>
      </c>
      <c r="I25" s="101">
        <v>99</v>
      </c>
      <c r="J25" s="101">
        <v>80</v>
      </c>
      <c r="K25" s="101">
        <v>112</v>
      </c>
      <c r="L25" s="101">
        <v>106</v>
      </c>
      <c r="M25" s="101">
        <v>105</v>
      </c>
      <c r="N25" s="101">
        <v>111</v>
      </c>
      <c r="O25" s="101">
        <v>120</v>
      </c>
      <c r="P25" s="101">
        <v>103</v>
      </c>
      <c r="Q25" s="101">
        <v>101</v>
      </c>
      <c r="R25" s="101">
        <v>108</v>
      </c>
      <c r="S25" s="101">
        <v>108</v>
      </c>
      <c r="T25" s="101">
        <v>89</v>
      </c>
      <c r="U25" s="101">
        <v>108</v>
      </c>
      <c r="V25" s="101">
        <v>88</v>
      </c>
      <c r="W25" s="101">
        <v>108</v>
      </c>
      <c r="X25" s="101">
        <v>85</v>
      </c>
      <c r="Y25" s="101">
        <v>93</v>
      </c>
      <c r="Z25" s="101">
        <v>88</v>
      </c>
      <c r="AA25" s="101">
        <v>93</v>
      </c>
      <c r="AB25" s="101">
        <v>89</v>
      </c>
      <c r="AC25" s="101">
        <v>95</v>
      </c>
      <c r="AD25" s="101">
        <v>87</v>
      </c>
      <c r="AE25" s="101">
        <v>81</v>
      </c>
      <c r="AF25" s="101">
        <v>72</v>
      </c>
      <c r="AG25" s="101">
        <v>98</v>
      </c>
    </row>
    <row r="26" spans="1:33" ht="25.5">
      <c r="A26" s="101">
        <v>23</v>
      </c>
      <c r="B26" s="79" t="s">
        <v>65</v>
      </c>
      <c r="C26" s="101">
        <v>30</v>
      </c>
      <c r="D26" s="101">
        <v>27</v>
      </c>
      <c r="E26" s="101">
        <v>33</v>
      </c>
      <c r="F26" s="101">
        <v>27</v>
      </c>
      <c r="G26" s="101">
        <v>34</v>
      </c>
      <c r="H26" s="101">
        <v>35</v>
      </c>
      <c r="I26" s="101">
        <v>31</v>
      </c>
      <c r="J26" s="101">
        <v>34</v>
      </c>
      <c r="K26" s="101">
        <v>37</v>
      </c>
      <c r="L26" s="101">
        <v>36</v>
      </c>
      <c r="M26" s="101">
        <v>39</v>
      </c>
      <c r="N26" s="101">
        <v>38</v>
      </c>
      <c r="O26" s="101">
        <v>32</v>
      </c>
      <c r="P26" s="101">
        <v>34</v>
      </c>
      <c r="Q26" s="101">
        <v>33</v>
      </c>
      <c r="R26" s="101">
        <v>33</v>
      </c>
      <c r="S26" s="101">
        <v>39</v>
      </c>
      <c r="T26" s="101">
        <v>30</v>
      </c>
      <c r="U26" s="101">
        <v>35</v>
      </c>
      <c r="V26" s="101">
        <v>36</v>
      </c>
      <c r="W26" s="101">
        <v>33</v>
      </c>
      <c r="X26" s="101">
        <v>30</v>
      </c>
      <c r="Y26" s="101">
        <v>32</v>
      </c>
      <c r="Z26" s="101">
        <v>32</v>
      </c>
      <c r="AA26" s="101">
        <v>30</v>
      </c>
      <c r="AB26" s="101">
        <v>35</v>
      </c>
      <c r="AC26" s="101">
        <v>29</v>
      </c>
      <c r="AD26" s="101">
        <v>33</v>
      </c>
      <c r="AE26" s="101">
        <v>30</v>
      </c>
      <c r="AF26" s="101">
        <v>29</v>
      </c>
      <c r="AG26" s="101">
        <v>32</v>
      </c>
    </row>
    <row r="27" spans="1:33" ht="25.5">
      <c r="A27" s="101">
        <v>24</v>
      </c>
      <c r="B27" s="79" t="s">
        <v>66</v>
      </c>
      <c r="C27" s="101">
        <v>16</v>
      </c>
      <c r="D27" s="101">
        <v>14</v>
      </c>
      <c r="E27" s="101">
        <v>15</v>
      </c>
      <c r="F27" s="101">
        <v>10</v>
      </c>
      <c r="G27" s="101">
        <v>12</v>
      </c>
      <c r="H27" s="101">
        <v>12</v>
      </c>
      <c r="I27" s="101">
        <v>9</v>
      </c>
      <c r="J27" s="101">
        <v>9</v>
      </c>
      <c r="K27" s="101">
        <v>17</v>
      </c>
      <c r="L27" s="101">
        <v>14</v>
      </c>
      <c r="M27" s="101">
        <v>14</v>
      </c>
      <c r="N27" s="101">
        <v>12</v>
      </c>
      <c r="O27" s="101">
        <v>16</v>
      </c>
      <c r="P27" s="101">
        <v>12</v>
      </c>
      <c r="Q27" s="101">
        <v>15</v>
      </c>
      <c r="R27" s="101">
        <v>12</v>
      </c>
      <c r="S27" s="101">
        <v>14</v>
      </c>
      <c r="T27" s="101">
        <v>11</v>
      </c>
      <c r="U27" s="101">
        <v>12</v>
      </c>
      <c r="V27" s="101">
        <v>10</v>
      </c>
      <c r="W27" s="101">
        <v>15</v>
      </c>
      <c r="X27" s="101">
        <v>9</v>
      </c>
      <c r="Y27" s="101">
        <v>11</v>
      </c>
      <c r="Z27" s="101">
        <v>11</v>
      </c>
      <c r="AA27" s="101">
        <v>10</v>
      </c>
      <c r="AB27" s="101">
        <v>8</v>
      </c>
      <c r="AC27" s="101">
        <v>7</v>
      </c>
      <c r="AD27" s="101">
        <v>8</v>
      </c>
      <c r="AE27" s="101">
        <v>8</v>
      </c>
      <c r="AF27" s="101">
        <v>6</v>
      </c>
      <c r="AG27" s="101">
        <v>10</v>
      </c>
    </row>
    <row r="28" spans="1:33" ht="25.5">
      <c r="A28" s="101">
        <v>25</v>
      </c>
      <c r="B28" s="79" t="s">
        <v>67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18</v>
      </c>
      <c r="X28" s="101">
        <v>81</v>
      </c>
      <c r="Y28" s="101">
        <v>132</v>
      </c>
      <c r="Z28" s="101">
        <v>188</v>
      </c>
      <c r="AA28" s="101">
        <v>247</v>
      </c>
      <c r="AB28" s="101">
        <v>278</v>
      </c>
      <c r="AC28" s="101">
        <v>251</v>
      </c>
      <c r="AD28" s="101">
        <v>301</v>
      </c>
      <c r="AE28" s="101">
        <v>330</v>
      </c>
      <c r="AF28" s="101">
        <v>297</v>
      </c>
      <c r="AG28" s="101">
        <v>367</v>
      </c>
    </row>
    <row r="29" spans="1:33" ht="25.5">
      <c r="A29" s="101">
        <v>26</v>
      </c>
      <c r="B29" s="79" t="s">
        <v>68</v>
      </c>
      <c r="C29" s="101">
        <v>894</v>
      </c>
      <c r="D29" s="101">
        <v>831</v>
      </c>
      <c r="E29" s="101">
        <v>910</v>
      </c>
      <c r="F29" s="101">
        <v>932</v>
      </c>
      <c r="G29" s="101">
        <v>959</v>
      </c>
      <c r="H29" s="101">
        <v>946</v>
      </c>
      <c r="I29" s="101">
        <v>952</v>
      </c>
      <c r="J29" s="101">
        <v>844</v>
      </c>
      <c r="K29" s="101">
        <v>1005</v>
      </c>
      <c r="L29" s="101">
        <v>960</v>
      </c>
      <c r="M29" s="101">
        <v>970</v>
      </c>
      <c r="N29" s="101">
        <v>981</v>
      </c>
      <c r="O29" s="101">
        <v>939</v>
      </c>
      <c r="P29" s="101">
        <v>907</v>
      </c>
      <c r="Q29" s="101">
        <v>907</v>
      </c>
      <c r="R29" s="101">
        <v>937</v>
      </c>
      <c r="S29" s="101">
        <v>964</v>
      </c>
      <c r="T29" s="101">
        <v>956</v>
      </c>
      <c r="U29" s="101">
        <v>947</v>
      </c>
      <c r="V29" s="101">
        <v>913</v>
      </c>
      <c r="W29" s="101">
        <v>964</v>
      </c>
      <c r="X29" s="101">
        <v>864</v>
      </c>
      <c r="Y29" s="101">
        <v>893</v>
      </c>
      <c r="Z29" s="101">
        <v>876</v>
      </c>
      <c r="AA29" s="101">
        <v>741</v>
      </c>
      <c r="AB29" s="101">
        <v>729</v>
      </c>
      <c r="AC29" s="101">
        <v>701</v>
      </c>
      <c r="AD29" s="101">
        <v>708</v>
      </c>
      <c r="AE29" s="101">
        <v>659</v>
      </c>
      <c r="AF29" s="101">
        <v>623</v>
      </c>
      <c r="AG29" s="101">
        <v>647</v>
      </c>
    </row>
    <row r="30" spans="1:33" ht="25.5">
      <c r="A30" s="101">
        <v>27</v>
      </c>
      <c r="B30" s="79" t="s">
        <v>69</v>
      </c>
      <c r="C30" s="101">
        <v>643</v>
      </c>
      <c r="D30" s="101">
        <v>593</v>
      </c>
      <c r="E30" s="101">
        <v>617</v>
      </c>
      <c r="F30" s="101">
        <v>607</v>
      </c>
      <c r="G30" s="101">
        <v>638</v>
      </c>
      <c r="H30" s="101">
        <v>624</v>
      </c>
      <c r="I30" s="101">
        <v>614</v>
      </c>
      <c r="J30" s="101">
        <v>587</v>
      </c>
      <c r="K30" s="101">
        <v>709</v>
      </c>
      <c r="L30" s="101">
        <v>629</v>
      </c>
      <c r="M30" s="101">
        <v>668</v>
      </c>
      <c r="N30" s="101">
        <v>624</v>
      </c>
      <c r="O30" s="101">
        <v>617</v>
      </c>
      <c r="P30" s="101">
        <v>596</v>
      </c>
      <c r="Q30" s="101">
        <v>640</v>
      </c>
      <c r="R30" s="101">
        <v>644</v>
      </c>
      <c r="S30" s="101">
        <v>611</v>
      </c>
      <c r="T30" s="101">
        <v>642</v>
      </c>
      <c r="U30" s="101">
        <v>613</v>
      </c>
      <c r="V30" s="101">
        <v>600</v>
      </c>
      <c r="W30" s="101">
        <v>649</v>
      </c>
      <c r="X30" s="101">
        <v>584</v>
      </c>
      <c r="Y30" s="101">
        <v>636</v>
      </c>
      <c r="Z30" s="101">
        <v>616</v>
      </c>
      <c r="AA30" s="101">
        <v>543</v>
      </c>
      <c r="AB30" s="101">
        <v>558</v>
      </c>
      <c r="AC30" s="101">
        <v>555</v>
      </c>
      <c r="AD30" s="101">
        <v>560</v>
      </c>
      <c r="AE30" s="101">
        <v>563</v>
      </c>
      <c r="AF30" s="101">
        <v>542</v>
      </c>
      <c r="AG30" s="101">
        <v>586</v>
      </c>
    </row>
    <row r="31" spans="1:33" ht="25.5">
      <c r="A31" s="101">
        <v>28</v>
      </c>
      <c r="B31" s="79" t="s">
        <v>70</v>
      </c>
      <c r="C31" s="101">
        <v>186</v>
      </c>
      <c r="D31" s="101">
        <v>167</v>
      </c>
      <c r="E31" s="101">
        <v>181</v>
      </c>
      <c r="F31" s="101">
        <v>174</v>
      </c>
      <c r="G31" s="101">
        <v>190</v>
      </c>
      <c r="H31" s="101">
        <v>188</v>
      </c>
      <c r="I31" s="101">
        <v>194</v>
      </c>
      <c r="J31" s="101">
        <v>168</v>
      </c>
      <c r="K31" s="101">
        <v>206</v>
      </c>
      <c r="L31" s="101">
        <v>177</v>
      </c>
      <c r="M31" s="101">
        <v>182</v>
      </c>
      <c r="N31" s="101">
        <v>183</v>
      </c>
      <c r="O31" s="101">
        <v>179</v>
      </c>
      <c r="P31" s="101">
        <v>188</v>
      </c>
      <c r="Q31" s="101">
        <v>181</v>
      </c>
      <c r="R31" s="101">
        <v>163</v>
      </c>
      <c r="S31" s="101">
        <v>178</v>
      </c>
      <c r="T31" s="101">
        <v>172</v>
      </c>
      <c r="U31" s="101">
        <v>171</v>
      </c>
      <c r="V31" s="101">
        <v>166</v>
      </c>
      <c r="W31" s="101">
        <v>175</v>
      </c>
      <c r="X31" s="101">
        <v>152</v>
      </c>
      <c r="Y31" s="101">
        <v>171</v>
      </c>
      <c r="Z31" s="101">
        <v>154</v>
      </c>
      <c r="AA31" s="101">
        <v>157</v>
      </c>
      <c r="AB31" s="101">
        <v>142</v>
      </c>
      <c r="AC31" s="101">
        <v>145</v>
      </c>
      <c r="AD31" s="101">
        <v>161</v>
      </c>
      <c r="AE31" s="101">
        <v>140</v>
      </c>
      <c r="AF31" s="101">
        <v>141</v>
      </c>
      <c r="AG31" s="101">
        <v>140</v>
      </c>
    </row>
    <row r="32" spans="1:33" ht="12.75">
      <c r="A32" s="101">
        <v>29</v>
      </c>
      <c r="B32" s="79" t="s">
        <v>71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3</v>
      </c>
    </row>
    <row r="34" spans="1:33" s="70" customFormat="1" ht="13.5" thickBot="1">
      <c r="A34" s="93" t="s">
        <v>75</v>
      </c>
      <c r="B34" s="93" t="s">
        <v>74</v>
      </c>
      <c r="C34" s="103">
        <v>38169</v>
      </c>
      <c r="D34" s="103">
        <v>38200</v>
      </c>
      <c r="E34" s="103">
        <v>38231</v>
      </c>
      <c r="F34" s="103">
        <v>38261</v>
      </c>
      <c r="G34" s="103">
        <v>38292</v>
      </c>
      <c r="H34" s="103">
        <v>38322</v>
      </c>
      <c r="I34" s="103">
        <v>38353</v>
      </c>
      <c r="J34" s="103">
        <v>38384</v>
      </c>
      <c r="K34" s="103">
        <v>38412</v>
      </c>
      <c r="L34" s="103">
        <v>38443</v>
      </c>
      <c r="M34" s="103">
        <v>38473</v>
      </c>
      <c r="N34" s="103">
        <v>38504</v>
      </c>
      <c r="O34" s="103">
        <v>38534</v>
      </c>
      <c r="P34" s="103">
        <v>38565</v>
      </c>
      <c r="Q34" s="103">
        <v>38596</v>
      </c>
      <c r="R34" s="103">
        <v>38626</v>
      </c>
      <c r="S34" s="103">
        <v>38657</v>
      </c>
      <c r="T34" s="103">
        <v>38687</v>
      </c>
      <c r="U34" s="103">
        <v>38718</v>
      </c>
      <c r="V34" s="103">
        <v>38749</v>
      </c>
      <c r="W34" s="103">
        <v>38777</v>
      </c>
      <c r="X34" s="103">
        <v>38808</v>
      </c>
      <c r="Y34" s="103">
        <v>38838</v>
      </c>
      <c r="Z34" s="103">
        <v>38869</v>
      </c>
      <c r="AA34" s="103">
        <v>38899</v>
      </c>
      <c r="AB34" s="103">
        <v>38930</v>
      </c>
      <c r="AC34" s="103">
        <v>38961</v>
      </c>
      <c r="AD34" s="103">
        <v>38991</v>
      </c>
      <c r="AE34" s="103">
        <v>39022</v>
      </c>
      <c r="AF34" s="103">
        <v>39052</v>
      </c>
      <c r="AG34" s="103">
        <v>39083</v>
      </c>
    </row>
    <row r="35" spans="1:33" ht="26.25" thickTop="1">
      <c r="A35">
        <v>1</v>
      </c>
      <c r="B35" s="91" t="s">
        <v>43</v>
      </c>
      <c r="C35" s="102">
        <f>VLOOKUP(1,$A$4:$AX$32,3,FALSE)</f>
        <v>0</v>
      </c>
      <c r="D35" s="102">
        <f>VLOOKUP(1,$A$4:$AX$32,4,FALSE)</f>
        <v>0</v>
      </c>
      <c r="E35" s="102">
        <f>VLOOKUP(1,$A$4:$AX$32,5,FALSE)</f>
        <v>0</v>
      </c>
      <c r="F35" s="102">
        <f>VLOOKUP(1,$A$4:$AX$32,6,FALSE)</f>
        <v>0</v>
      </c>
      <c r="G35" s="102">
        <f>VLOOKUP(1,$A$4:$AX$32,7,FALSE)</f>
        <v>0</v>
      </c>
      <c r="H35" s="102">
        <f>VLOOKUP(1,$A$4:$AX$32,8,FALSE)</f>
        <v>0</v>
      </c>
      <c r="I35" s="102">
        <f>VLOOKUP(1,$A$4:$AX$32,9,FALSE)</f>
        <v>0</v>
      </c>
      <c r="J35" s="102">
        <f>VLOOKUP(1,$A$4:$AX$32,10,FALSE)</f>
        <v>0</v>
      </c>
      <c r="K35" s="102">
        <f>VLOOKUP(1,$A$4:$AX$32,11,FALSE)</f>
        <v>0</v>
      </c>
      <c r="L35" s="102">
        <f>VLOOKUP(1,$A$4:$AX$32,12,FALSE)</f>
        <v>0</v>
      </c>
      <c r="M35" s="102">
        <f>VLOOKUP(1,$A$4:$AX$32,13,FALSE)</f>
        <v>0</v>
      </c>
      <c r="N35" s="102">
        <f>VLOOKUP(1,$A$4:$AX$32,14,FALSE)</f>
        <v>0</v>
      </c>
      <c r="O35" s="102">
        <f>VLOOKUP(1,$A$4:$AX$32,15,FALSE)</f>
        <v>0</v>
      </c>
      <c r="P35" s="102">
        <f>VLOOKUP(1,$A$4:$AX$32,16,FALSE)</f>
        <v>0</v>
      </c>
      <c r="Q35" s="102">
        <f>VLOOKUP(1,$A$4:$AX$32,17,FALSE)</f>
        <v>0</v>
      </c>
      <c r="R35" s="102">
        <f>VLOOKUP(1,$A$4:$AX$32,18,FALSE)</f>
        <v>0</v>
      </c>
      <c r="S35" s="102">
        <f>VLOOKUP(1,$A$4:$AX$32,19,FALSE)</f>
        <v>0</v>
      </c>
      <c r="T35" s="102">
        <f>VLOOKUP(1,$A$4:$AX$32,20,FALSE)</f>
        <v>1</v>
      </c>
      <c r="U35" s="102">
        <f>VLOOKUP(1,$A$4:$AX$32,21,FALSE)</f>
        <v>8</v>
      </c>
      <c r="V35" s="102">
        <f>VLOOKUP(1,$A$4:$AX$32,22,FALSE)</f>
        <v>14</v>
      </c>
      <c r="W35" s="102">
        <f>VLOOKUP(1,$A$4:$AX$32,23,FALSE)</f>
        <v>16</v>
      </c>
      <c r="X35" s="102">
        <f>VLOOKUP(1,$A$4:$AX$32,24,FALSE)</f>
        <v>21</v>
      </c>
      <c r="Y35" s="102">
        <f>VLOOKUP(1,$A$4:$AX$32,25,FALSE)</f>
        <v>21</v>
      </c>
      <c r="Z35" s="102">
        <f>VLOOKUP(1,$A$4:$AX$32,26,FALSE)</f>
        <v>24</v>
      </c>
      <c r="AA35" s="102">
        <f>VLOOKUP(1,$A$4:$AX$32,27,FALSE)</f>
        <v>19</v>
      </c>
      <c r="AB35" s="102">
        <f>VLOOKUP(1,$A$4:$AX$32,28,FALSE)</f>
        <v>25</v>
      </c>
      <c r="AC35" s="102">
        <f>VLOOKUP(1,$A$4:$AX$32,29,FALSE)</f>
        <v>32</v>
      </c>
      <c r="AD35" s="102">
        <f>VLOOKUP(1,$A$4:$AX$32,30,FALSE)</f>
        <v>43</v>
      </c>
      <c r="AE35" s="102">
        <f>VLOOKUP(1,$A$4:$AX$32,31,FALSE)</f>
        <v>37</v>
      </c>
      <c r="AF35" s="102">
        <f>VLOOKUP(1,$A$4:$AX$32,32,FALSE)</f>
        <v>33</v>
      </c>
      <c r="AG35" s="102">
        <f>VLOOKUP(1,$A$4:$AX$32,33,FALSE)</f>
        <v>38</v>
      </c>
    </row>
    <row r="36" spans="1:33" ht="25.5">
      <c r="A36">
        <v>2</v>
      </c>
      <c r="B36" s="77" t="s">
        <v>44</v>
      </c>
      <c r="C36" s="102">
        <f>VLOOKUP(2,$A$4:$AX$32,3,FALSE)</f>
        <v>1270</v>
      </c>
      <c r="D36" s="102">
        <f>VLOOKUP(2,$A$4:$AX$32,4,FALSE)</f>
        <v>1206</v>
      </c>
      <c r="E36" s="102">
        <f>VLOOKUP(2,$A$4:$AX$32,5,FALSE)</f>
        <v>1234</v>
      </c>
      <c r="F36" s="102">
        <f>VLOOKUP(2,$A$4:$AX$32,6,FALSE)</f>
        <v>1240</v>
      </c>
      <c r="G36" s="102">
        <f>VLOOKUP(2,$A$4:$AX$32,7,FALSE)</f>
        <v>1273</v>
      </c>
      <c r="H36" s="102">
        <f>VLOOKUP(2,$A$4:$AX$32,8,FALSE)</f>
        <v>1280</v>
      </c>
      <c r="I36" s="102">
        <f>VLOOKUP(2,$A$4:$AX$32,9,FALSE)</f>
        <v>1250</v>
      </c>
      <c r="J36" s="102">
        <f>VLOOKUP(2,$A$4:$AX$32,10,FALSE)</f>
        <v>1127</v>
      </c>
      <c r="K36" s="102">
        <f>VLOOKUP(2,$A$4:$AX$32,11,FALSE)</f>
        <v>1347</v>
      </c>
      <c r="L36" s="102">
        <f>VLOOKUP(2,$A$4:$AX$32,12,FALSE)</f>
        <v>1245</v>
      </c>
      <c r="M36" s="102">
        <f>VLOOKUP(2,$A$4:$AX$32,13,FALSE)</f>
        <v>1350</v>
      </c>
      <c r="N36" s="102">
        <f>VLOOKUP(2,$A$4:$AX$32,14,FALSE)</f>
        <v>1337</v>
      </c>
      <c r="O36" s="102">
        <f>VLOOKUP(2,$A$4:$AX$32,15,FALSE)</f>
        <v>1260</v>
      </c>
      <c r="P36" s="102">
        <f>VLOOKUP(2,$A$4:$AX$32,16,FALSE)</f>
        <v>1324</v>
      </c>
      <c r="Q36" s="102">
        <f>VLOOKUP(2,$A$4:$AX$32,17,FALSE)</f>
        <v>1313</v>
      </c>
      <c r="R36" s="102">
        <f>VLOOKUP(2,$A$4:$AX$32,18,FALSE)</f>
        <v>1309</v>
      </c>
      <c r="S36" s="102">
        <f>VLOOKUP(2,$A$4:$AX$32,19,FALSE)</f>
        <v>1377</v>
      </c>
      <c r="T36" s="102">
        <f>VLOOKUP(2,$A$4:$AX$32,20,FALSE)</f>
        <v>1374</v>
      </c>
      <c r="U36" s="102">
        <f>VLOOKUP(2,$A$4:$AX$32,21,FALSE)</f>
        <v>1324</v>
      </c>
      <c r="V36" s="102">
        <f>VLOOKUP(2,$A$4:$AX$32,22,FALSE)</f>
        <v>1297</v>
      </c>
      <c r="W36" s="102">
        <f>VLOOKUP(2,$A$4:$AX$32,23,FALSE)</f>
        <v>1351</v>
      </c>
      <c r="X36" s="102">
        <f>VLOOKUP(2,$A$4:$AX$32,24,FALSE)</f>
        <v>1227</v>
      </c>
      <c r="Y36" s="102">
        <f>VLOOKUP(2,$A$4:$AX$32,25,FALSE)</f>
        <v>1300</v>
      </c>
      <c r="Z36" s="102">
        <f>VLOOKUP(2,$A$4:$AX$32,26,FALSE)</f>
        <v>1338</v>
      </c>
      <c r="AA36" s="102">
        <f>VLOOKUP(2,$A$4:$AX$32,27,FALSE)</f>
        <v>1239</v>
      </c>
      <c r="AB36" s="102">
        <f>VLOOKUP(2,$A$4:$AX$32,28,FALSE)</f>
        <v>1273</v>
      </c>
      <c r="AC36" s="102">
        <f>VLOOKUP(2,$A$4:$AX$32,29,FALSE)</f>
        <v>1233</v>
      </c>
      <c r="AD36" s="102">
        <f>VLOOKUP(2,$A$4:$AX$32,30,FALSE)</f>
        <v>1346</v>
      </c>
      <c r="AE36" s="102">
        <f>VLOOKUP(2,$A$4:$AX$32,31,FALSE)</f>
        <v>1325</v>
      </c>
      <c r="AF36" s="102">
        <f>VLOOKUP(2,$A$4:$AX$32,32,FALSE)</f>
        <v>1234</v>
      </c>
      <c r="AG36" s="102">
        <f>VLOOKUP(2,$A$4:$AX$32,33,FALSE)</f>
        <v>1368</v>
      </c>
    </row>
    <row r="37" spans="1:33" ht="25.5">
      <c r="A37">
        <v>3</v>
      </c>
      <c r="B37" s="77" t="s">
        <v>45</v>
      </c>
      <c r="C37" s="102">
        <f>VLOOKUP(3,$A$4:$AX$32,3,FALSE)</f>
        <v>209</v>
      </c>
      <c r="D37" s="102">
        <f>VLOOKUP(3,$A$4:$AX$32,4,FALSE)</f>
        <v>202</v>
      </c>
      <c r="E37" s="102">
        <f>VLOOKUP(3,$A$4:$AX$32,5,FALSE)</f>
        <v>227</v>
      </c>
      <c r="F37" s="102">
        <f>VLOOKUP(3,$A$4:$AX$32,6,FALSE)</f>
        <v>214</v>
      </c>
      <c r="G37" s="102">
        <f>VLOOKUP(3,$A$4:$AX$32,7,FALSE)</f>
        <v>225</v>
      </c>
      <c r="H37" s="102">
        <f>VLOOKUP(3,$A$4:$AX$32,8,FALSE)</f>
        <v>240</v>
      </c>
      <c r="I37" s="102">
        <f>VLOOKUP(3,$A$4:$AX$32,9,FALSE)</f>
        <v>232</v>
      </c>
      <c r="J37" s="102">
        <f>VLOOKUP(3,$A$4:$AX$32,10,FALSE)</f>
        <v>224</v>
      </c>
      <c r="K37" s="102">
        <f>VLOOKUP(3,$A$4:$AX$32,11,FALSE)</f>
        <v>279</v>
      </c>
      <c r="L37" s="102">
        <f>VLOOKUP(3,$A$4:$AX$32,12,FALSE)</f>
        <v>260</v>
      </c>
      <c r="M37" s="102">
        <f>VLOOKUP(3,$A$4:$AX$32,13,FALSE)</f>
        <v>258</v>
      </c>
      <c r="N37" s="102">
        <f>VLOOKUP(3,$A$4:$AX$32,14,FALSE)</f>
        <v>258</v>
      </c>
      <c r="O37" s="102">
        <f>VLOOKUP(3,$A$4:$AX$32,15,FALSE)</f>
        <v>255</v>
      </c>
      <c r="P37" s="102">
        <f>VLOOKUP(3,$A$4:$AX$32,16,FALSE)</f>
        <v>262</v>
      </c>
      <c r="Q37" s="102">
        <f>VLOOKUP(3,$A$4:$AX$32,17,FALSE)</f>
        <v>252</v>
      </c>
      <c r="R37" s="102">
        <f>VLOOKUP(3,$A$4:$AX$32,18,FALSE)</f>
        <v>265</v>
      </c>
      <c r="S37" s="102">
        <f>VLOOKUP(3,$A$4:$AX$32,19,FALSE)</f>
        <v>252</v>
      </c>
      <c r="T37" s="102">
        <f>VLOOKUP(3,$A$4:$AX$32,20,FALSE)</f>
        <v>263</v>
      </c>
      <c r="U37" s="102">
        <f>VLOOKUP(3,$A$4:$AX$32,21,FALSE)</f>
        <v>256</v>
      </c>
      <c r="V37" s="102">
        <f>VLOOKUP(3,$A$4:$AX$32,22,FALSE)</f>
        <v>253</v>
      </c>
      <c r="W37" s="102">
        <f>VLOOKUP(3,$A$4:$AX$32,23,FALSE)</f>
        <v>298</v>
      </c>
      <c r="X37" s="102">
        <f>VLOOKUP(3,$A$4:$AX$32,24,FALSE)</f>
        <v>241</v>
      </c>
      <c r="Y37" s="102">
        <f>VLOOKUP(3,$A$4:$AX$32,25,FALSE)</f>
        <v>269</v>
      </c>
      <c r="Z37" s="102">
        <f>VLOOKUP(3,$A$4:$AX$32,26,FALSE)</f>
        <v>266</v>
      </c>
      <c r="AA37" s="102">
        <f>VLOOKUP(3,$A$4:$AX$32,27,FALSE)</f>
        <v>257</v>
      </c>
      <c r="AB37" s="102">
        <f>VLOOKUP(3,$A$4:$AX$32,28,FALSE)</f>
        <v>265</v>
      </c>
      <c r="AC37" s="102">
        <f>VLOOKUP(3,$A$4:$AX$32,29,FALSE)</f>
        <v>246</v>
      </c>
      <c r="AD37" s="102">
        <f>VLOOKUP(3,$A$4:$AX$32,30,FALSE)</f>
        <v>272</v>
      </c>
      <c r="AE37" s="102">
        <f>VLOOKUP(3,$A$4:$AX$32,31,FALSE)</f>
        <v>266</v>
      </c>
      <c r="AF37" s="102">
        <f>VLOOKUP(3,$A$4:$AX$32,32,FALSE)</f>
        <v>258</v>
      </c>
      <c r="AG37" s="102">
        <f>VLOOKUP(3,$A$4:$AX$32,33,FALSE)</f>
        <v>284</v>
      </c>
    </row>
    <row r="38" spans="1:33" ht="25.5">
      <c r="A38">
        <v>4</v>
      </c>
      <c r="B38" s="77" t="s">
        <v>46</v>
      </c>
      <c r="C38" s="102">
        <f>VLOOKUP(4,$A$4:$AX$32,3,FALSE)</f>
        <v>0</v>
      </c>
      <c r="D38" s="102">
        <f>VLOOKUP(4,$A$4:$AX$32,4,FALSE)</f>
        <v>0</v>
      </c>
      <c r="E38" s="102">
        <f>VLOOKUP(4,$A$4:$AX$32,5,FALSE)</f>
        <v>0</v>
      </c>
      <c r="F38" s="102">
        <f>VLOOKUP(4,$A$4:$AX$32,6,FALSE)</f>
        <v>0</v>
      </c>
      <c r="G38" s="102">
        <f>VLOOKUP(4,$A$4:$AX$32,7,FALSE)</f>
        <v>0</v>
      </c>
      <c r="H38" s="102">
        <f>VLOOKUP(4,$A$4:$AX$32,8,FALSE)</f>
        <v>0</v>
      </c>
      <c r="I38" s="102">
        <f>VLOOKUP(4,$A$4:$AX$32,9,FALSE)</f>
        <v>0</v>
      </c>
      <c r="J38" s="102">
        <f>VLOOKUP(4,$A$4:$AX$32,10,FALSE)</f>
        <v>0</v>
      </c>
      <c r="K38" s="102">
        <f>VLOOKUP(4,$A$4:$AX$32,11,FALSE)</f>
        <v>0</v>
      </c>
      <c r="L38" s="102">
        <f>VLOOKUP(4,$A$4:$AX$32,12,FALSE)</f>
        <v>0</v>
      </c>
      <c r="M38" s="102">
        <f>VLOOKUP(4,$A$4:$AX$32,13,FALSE)</f>
        <v>0</v>
      </c>
      <c r="N38" s="102">
        <f>VLOOKUP(4,$A$4:$AX$32,14,FALSE)</f>
        <v>0</v>
      </c>
      <c r="O38" s="102">
        <f>VLOOKUP(4,$A$4:$AX$32,15,FALSE)</f>
        <v>0</v>
      </c>
      <c r="P38" s="102">
        <f>VLOOKUP(4,$A$4:$AX$32,16,FALSE)</f>
        <v>0</v>
      </c>
      <c r="Q38" s="102">
        <f>VLOOKUP(4,$A$4:$AX$32,17,FALSE)</f>
        <v>0</v>
      </c>
      <c r="R38" s="102">
        <f>VLOOKUP(4,$A$4:$AX$32,18,FALSE)</f>
        <v>0</v>
      </c>
      <c r="S38" s="102">
        <f>VLOOKUP(4,$A$4:$AX$32,19,FALSE)</f>
        <v>0</v>
      </c>
      <c r="T38" s="102">
        <f>VLOOKUP(4,$A$4:$AX$32,20,FALSE)</f>
        <v>0</v>
      </c>
      <c r="U38" s="102">
        <f>VLOOKUP(4,$A$4:$AX$32,21,FALSE)</f>
        <v>0</v>
      </c>
      <c r="V38" s="102">
        <f>VLOOKUP(4,$A$4:$AX$32,22,FALSE)</f>
        <v>0</v>
      </c>
      <c r="W38" s="102">
        <f>VLOOKUP(4,$A$4:$AX$32,23,FALSE)</f>
        <v>0</v>
      </c>
      <c r="X38" s="102">
        <f>VLOOKUP(4,$A$4:$AX$32,24,FALSE)</f>
        <v>0</v>
      </c>
      <c r="Y38" s="102">
        <f>VLOOKUP(4,$A$4:$AX$32,25,FALSE)</f>
        <v>0</v>
      </c>
      <c r="Z38" s="102">
        <f>VLOOKUP(4,$A$4:$AX$32,26,FALSE)</f>
        <v>0</v>
      </c>
      <c r="AA38" s="102">
        <f>VLOOKUP(4,$A$4:$AX$32,27,FALSE)</f>
        <v>0</v>
      </c>
      <c r="AB38" s="102">
        <f>VLOOKUP(4,$A$4:$AX$32,28,FALSE)</f>
        <v>0</v>
      </c>
      <c r="AC38" s="102">
        <f>VLOOKUP(4,$A$4:$AX$32,29,FALSE)</f>
        <v>1</v>
      </c>
      <c r="AD38" s="102">
        <f>VLOOKUP(4,$A$4:$AX$32,30,FALSE)</f>
        <v>6</v>
      </c>
      <c r="AE38" s="102">
        <f>VLOOKUP(4,$A$4:$AX$32,31,FALSE)</f>
        <v>9</v>
      </c>
      <c r="AF38" s="102">
        <f>VLOOKUP(4,$A$4:$AX$32,32,FALSE)</f>
        <v>13</v>
      </c>
      <c r="AG38" s="102">
        <f>VLOOKUP(4,$A$4:$AX$32,33,FALSE)</f>
        <v>19</v>
      </c>
    </row>
    <row r="39" spans="1:33" ht="25.5">
      <c r="A39">
        <v>5</v>
      </c>
      <c r="B39" s="77" t="s">
        <v>47</v>
      </c>
      <c r="C39" s="102">
        <f>VLOOKUP(5,$A$4:$AX$32,3,FALSE)</f>
        <v>1769</v>
      </c>
      <c r="D39" s="102">
        <f>VLOOKUP(5,$A$4:$AX$32,4,FALSE)</f>
        <v>1608</v>
      </c>
      <c r="E39" s="102">
        <f>VLOOKUP(5,$A$4:$AX$32,5,FALSE)</f>
        <v>1723</v>
      </c>
      <c r="F39" s="102">
        <f>VLOOKUP(5,$A$4:$AX$32,6,FALSE)</f>
        <v>1710</v>
      </c>
      <c r="G39" s="102">
        <f>VLOOKUP(5,$A$4:$AX$32,7,FALSE)</f>
        <v>1751</v>
      </c>
      <c r="H39" s="102">
        <f>VLOOKUP(5,$A$4:$AX$32,8,FALSE)</f>
        <v>1767</v>
      </c>
      <c r="I39" s="102">
        <f>VLOOKUP(5,$A$4:$AX$32,9,FALSE)</f>
        <v>1734</v>
      </c>
      <c r="J39" s="102">
        <f>VLOOKUP(5,$A$4:$AX$32,10,FALSE)</f>
        <v>1568</v>
      </c>
      <c r="K39" s="102">
        <f>VLOOKUP(5,$A$4:$AX$32,11,FALSE)</f>
        <v>1828</v>
      </c>
      <c r="L39" s="102">
        <f>VLOOKUP(5,$A$4:$AX$32,12,FALSE)</f>
        <v>1709</v>
      </c>
      <c r="M39" s="102">
        <f>VLOOKUP(5,$A$4:$AX$32,13,FALSE)</f>
        <v>1752</v>
      </c>
      <c r="N39" s="102">
        <f>VLOOKUP(5,$A$4:$AX$32,14,FALSE)</f>
        <v>1718</v>
      </c>
      <c r="O39" s="102">
        <f>VLOOKUP(5,$A$4:$AX$32,15,FALSE)</f>
        <v>1692</v>
      </c>
      <c r="P39" s="102">
        <f>VLOOKUP(5,$A$4:$AX$32,16,FALSE)</f>
        <v>1621</v>
      </c>
      <c r="Q39" s="102">
        <f>VLOOKUP(5,$A$4:$AX$32,17,FALSE)</f>
        <v>1719</v>
      </c>
      <c r="R39" s="102">
        <f>VLOOKUP(5,$A$4:$AX$32,18,FALSE)</f>
        <v>1683</v>
      </c>
      <c r="S39" s="102">
        <f>VLOOKUP(5,$A$4:$AX$32,19,FALSE)</f>
        <v>1676</v>
      </c>
      <c r="T39" s="102">
        <f>VLOOKUP(5,$A$4:$AX$32,20,FALSE)</f>
        <v>1740</v>
      </c>
      <c r="U39" s="102">
        <f>VLOOKUP(5,$A$4:$AX$32,21,FALSE)</f>
        <v>1670</v>
      </c>
      <c r="V39" s="102">
        <f>VLOOKUP(5,$A$4:$AX$32,22,FALSE)</f>
        <v>1606</v>
      </c>
      <c r="W39" s="102">
        <f>VLOOKUP(5,$A$4:$AX$32,23,FALSE)</f>
        <v>1704</v>
      </c>
      <c r="X39" s="102">
        <f>VLOOKUP(5,$A$4:$AX$32,24,FALSE)</f>
        <v>1550</v>
      </c>
      <c r="Y39" s="102">
        <f>VLOOKUP(5,$A$4:$AX$32,25,FALSE)</f>
        <v>1669</v>
      </c>
      <c r="Z39" s="102">
        <f>VLOOKUP(5,$A$4:$AX$32,26,FALSE)</f>
        <v>1574</v>
      </c>
      <c r="AA39" s="102">
        <f>VLOOKUP(5,$A$4:$AX$32,27,FALSE)</f>
        <v>1522</v>
      </c>
      <c r="AB39" s="102">
        <f>VLOOKUP(5,$A$4:$AX$32,28,FALSE)</f>
        <v>1590</v>
      </c>
      <c r="AC39" s="102">
        <f>VLOOKUP(5,$A$4:$AX$32,29,FALSE)</f>
        <v>1465</v>
      </c>
      <c r="AD39" s="102">
        <f>VLOOKUP(5,$A$4:$AX$32,30,FALSE)</f>
        <v>1621</v>
      </c>
      <c r="AE39" s="102">
        <f>VLOOKUP(5,$A$4:$AX$32,31,FALSE)</f>
        <v>1567</v>
      </c>
      <c r="AF39" s="102">
        <f>VLOOKUP(5,$A$4:$AX$32,32,FALSE)</f>
        <v>1477</v>
      </c>
      <c r="AG39" s="102">
        <f>VLOOKUP(5,$A$4:$AX$32,33,FALSE)</f>
        <v>1639</v>
      </c>
    </row>
    <row r="40" spans="1:33" ht="25.5">
      <c r="A40">
        <v>6</v>
      </c>
      <c r="B40" s="77" t="s">
        <v>48</v>
      </c>
      <c r="C40" s="102">
        <f>VLOOKUP(6,$A$4:$AX$32,3,FALSE)</f>
        <v>618</v>
      </c>
      <c r="D40" s="102">
        <f>VLOOKUP(6,$A$4:$AX$32,4,FALSE)</f>
        <v>565</v>
      </c>
      <c r="E40" s="102">
        <f>VLOOKUP(6,$A$4:$AX$32,5,FALSE)</f>
        <v>611</v>
      </c>
      <c r="F40" s="102">
        <f>VLOOKUP(6,$A$4:$AX$32,6,FALSE)</f>
        <v>643</v>
      </c>
      <c r="G40" s="102">
        <f>VLOOKUP(6,$A$4:$AX$32,7,FALSE)</f>
        <v>656</v>
      </c>
      <c r="H40" s="102">
        <f>VLOOKUP(6,$A$4:$AX$32,8,FALSE)</f>
        <v>671</v>
      </c>
      <c r="I40" s="102">
        <f>VLOOKUP(6,$A$4:$AX$32,9,FALSE)</f>
        <v>628</v>
      </c>
      <c r="J40" s="102">
        <f>VLOOKUP(6,$A$4:$AX$32,10,FALSE)</f>
        <v>609</v>
      </c>
      <c r="K40" s="102">
        <f>VLOOKUP(6,$A$4:$AX$32,11,FALSE)</f>
        <v>728</v>
      </c>
      <c r="L40" s="102">
        <f>VLOOKUP(6,$A$4:$AX$32,12,FALSE)</f>
        <v>655</v>
      </c>
      <c r="M40" s="102">
        <f>VLOOKUP(6,$A$4:$AX$32,13,FALSE)</f>
        <v>706</v>
      </c>
      <c r="N40" s="102">
        <f>VLOOKUP(6,$A$4:$AX$32,14,FALSE)</f>
        <v>689</v>
      </c>
      <c r="O40" s="102">
        <f>VLOOKUP(6,$A$4:$AX$32,15,FALSE)</f>
        <v>649</v>
      </c>
      <c r="P40" s="102">
        <f>VLOOKUP(6,$A$4:$AX$32,16,FALSE)</f>
        <v>665</v>
      </c>
      <c r="Q40" s="102">
        <f>VLOOKUP(6,$A$4:$AX$32,17,FALSE)</f>
        <v>683</v>
      </c>
      <c r="R40" s="102">
        <f>VLOOKUP(6,$A$4:$AX$32,18,FALSE)</f>
        <v>691</v>
      </c>
      <c r="S40" s="102">
        <f>VLOOKUP(6,$A$4:$AX$32,19,FALSE)</f>
        <v>669</v>
      </c>
      <c r="T40" s="102">
        <f>VLOOKUP(6,$A$4:$AX$32,20,FALSE)</f>
        <v>711</v>
      </c>
      <c r="U40" s="102">
        <f>VLOOKUP(6,$A$4:$AX$32,21,FALSE)</f>
        <v>686</v>
      </c>
      <c r="V40" s="102">
        <f>VLOOKUP(6,$A$4:$AX$32,22,FALSE)</f>
        <v>645</v>
      </c>
      <c r="W40" s="102">
        <f>VLOOKUP(6,$A$4:$AX$32,23,FALSE)</f>
        <v>700</v>
      </c>
      <c r="X40" s="102">
        <f>VLOOKUP(6,$A$4:$AX$32,24,FALSE)</f>
        <v>641</v>
      </c>
      <c r="Y40" s="102">
        <f>VLOOKUP(6,$A$4:$AX$32,25,FALSE)</f>
        <v>684</v>
      </c>
      <c r="Z40" s="102">
        <f>VLOOKUP(6,$A$4:$AX$32,26,FALSE)</f>
        <v>689</v>
      </c>
      <c r="AA40" s="102">
        <f>VLOOKUP(6,$A$4:$AX$32,27,FALSE)</f>
        <v>634</v>
      </c>
      <c r="AB40" s="102">
        <f>VLOOKUP(6,$A$4:$AX$32,28,FALSE)</f>
        <v>648</v>
      </c>
      <c r="AC40" s="102">
        <f>VLOOKUP(6,$A$4:$AX$32,29,FALSE)</f>
        <v>581</v>
      </c>
      <c r="AD40" s="102">
        <f>VLOOKUP(6,$A$4:$AX$32,30,FALSE)</f>
        <v>639</v>
      </c>
      <c r="AE40" s="102">
        <f>VLOOKUP(6,$A$4:$AX$32,31,FALSE)</f>
        <v>634</v>
      </c>
      <c r="AF40" s="102">
        <f>VLOOKUP(6,$A$4:$AX$32,32,FALSE)</f>
        <v>589</v>
      </c>
      <c r="AG40" s="102">
        <f>VLOOKUP(6,$A$4:$AX$32,33,FALSE)</f>
        <v>666</v>
      </c>
    </row>
    <row r="41" spans="1:33" ht="12.75">
      <c r="A41">
        <v>7</v>
      </c>
      <c r="B41" s="77" t="s">
        <v>49</v>
      </c>
      <c r="C41" s="102">
        <f>VLOOKUP(7,$A$4:$AX$32,3,FALSE)</f>
        <v>0</v>
      </c>
      <c r="D41" s="102">
        <f>VLOOKUP(7,$A$4:$AX$32,4,FALSE)</f>
        <v>0</v>
      </c>
      <c r="E41" s="102">
        <f>VLOOKUP(7,$A$4:$AX$32,5,FALSE)</f>
        <v>0</v>
      </c>
      <c r="F41" s="102">
        <f>VLOOKUP(7,$A$4:$AX$32,6,FALSE)</f>
        <v>0</v>
      </c>
      <c r="G41" s="102">
        <f>VLOOKUP(7,$A$4:$AX$32,7,FALSE)</f>
        <v>0</v>
      </c>
      <c r="H41" s="102">
        <f>VLOOKUP(7,$A$4:$AX$32,8,FALSE)</f>
        <v>0</v>
      </c>
      <c r="I41" s="102">
        <f>VLOOKUP(7,$A$4:$AX$32,9,FALSE)</f>
        <v>0</v>
      </c>
      <c r="J41" s="102">
        <f>VLOOKUP(7,$A$4:$AX$32,10,FALSE)</f>
        <v>0</v>
      </c>
      <c r="K41" s="102">
        <f>VLOOKUP(7,$A$4:$AX$32,11,FALSE)</f>
        <v>0</v>
      </c>
      <c r="L41" s="102">
        <f>VLOOKUP(7,$A$4:$AX$32,12,FALSE)</f>
        <v>0</v>
      </c>
      <c r="M41" s="102">
        <f>VLOOKUP(7,$A$4:$AX$32,13,FALSE)</f>
        <v>0</v>
      </c>
      <c r="N41" s="102">
        <f>VLOOKUP(7,$A$4:$AX$32,14,FALSE)</f>
        <v>0</v>
      </c>
      <c r="O41" s="102">
        <f>VLOOKUP(7,$A$4:$AX$32,15,FALSE)</f>
        <v>0</v>
      </c>
      <c r="P41" s="102">
        <f>VLOOKUP(7,$A$4:$AX$32,16,FALSE)</f>
        <v>0</v>
      </c>
      <c r="Q41" s="102">
        <f>VLOOKUP(7,$A$4:$AX$32,17,FALSE)</f>
        <v>0</v>
      </c>
      <c r="R41" s="102">
        <f>VLOOKUP(7,$A$4:$AX$32,18,FALSE)</f>
        <v>0</v>
      </c>
      <c r="S41" s="102">
        <f>VLOOKUP(7,$A$4:$AX$32,19,FALSE)</f>
        <v>0</v>
      </c>
      <c r="T41" s="102">
        <f>VLOOKUP(7,$A$4:$AX$32,20,FALSE)</f>
        <v>0</v>
      </c>
      <c r="U41" s="102">
        <f>VLOOKUP(7,$A$4:$AX$32,21,FALSE)</f>
        <v>0</v>
      </c>
      <c r="V41" s="102">
        <f>VLOOKUP(7,$A$4:$AX$32,22,FALSE)</f>
        <v>0</v>
      </c>
      <c r="W41" s="102">
        <f>VLOOKUP(7,$A$4:$AX$32,23,FALSE)</f>
        <v>0</v>
      </c>
      <c r="X41" s="102">
        <f>VLOOKUP(7,$A$4:$AX$32,24,FALSE)</f>
        <v>0</v>
      </c>
      <c r="Y41" s="102">
        <f>VLOOKUP(7,$A$4:$AX$32,25,FALSE)</f>
        <v>0</v>
      </c>
      <c r="Z41" s="102">
        <f>VLOOKUP(7,$A$4:$AX$32,26,FALSE)</f>
        <v>9</v>
      </c>
      <c r="AA41" s="102">
        <f>VLOOKUP(7,$A$4:$AX$32,27,FALSE)</f>
        <v>20</v>
      </c>
      <c r="AB41" s="102">
        <f>VLOOKUP(7,$A$4:$AX$32,28,FALSE)</f>
        <v>30</v>
      </c>
      <c r="AC41" s="102">
        <f>VLOOKUP(7,$A$4:$AX$32,29,FALSE)</f>
        <v>40</v>
      </c>
      <c r="AD41" s="102">
        <f>VLOOKUP(7,$A$4:$AX$32,30,FALSE)</f>
        <v>64</v>
      </c>
      <c r="AE41" s="102">
        <f>VLOOKUP(7,$A$4:$AX$32,31,FALSE)</f>
        <v>78</v>
      </c>
      <c r="AF41" s="102">
        <f>VLOOKUP(7,$A$4:$AX$32,32,FALSE)</f>
        <v>85</v>
      </c>
      <c r="AG41" s="102">
        <f>VLOOKUP(7,$A$4:$AX$32,33,FALSE)</f>
        <v>106</v>
      </c>
    </row>
    <row r="42" spans="1:33" ht="25.5">
      <c r="A42">
        <v>8</v>
      </c>
      <c r="B42" s="77" t="s">
        <v>50</v>
      </c>
      <c r="C42" s="102">
        <f>VLOOKUP(8,$A$4:$AX$32,3,FALSE)</f>
        <v>98</v>
      </c>
      <c r="D42" s="102">
        <f>VLOOKUP(8,$A$4:$AX$32,4,FALSE)</f>
        <v>85</v>
      </c>
      <c r="E42" s="102">
        <f>VLOOKUP(8,$A$4:$AX$32,5,FALSE)</f>
        <v>84</v>
      </c>
      <c r="F42" s="102">
        <f>VLOOKUP(8,$A$4:$AX$32,6,FALSE)</f>
        <v>92</v>
      </c>
      <c r="G42" s="102">
        <f>VLOOKUP(8,$A$4:$AX$32,7,FALSE)</f>
        <v>90</v>
      </c>
      <c r="H42" s="102">
        <f>VLOOKUP(8,$A$4:$AX$32,8,FALSE)</f>
        <v>105</v>
      </c>
      <c r="I42" s="102">
        <f>VLOOKUP(8,$A$4:$AX$32,9,FALSE)</f>
        <v>105</v>
      </c>
      <c r="J42" s="102">
        <f>VLOOKUP(8,$A$4:$AX$32,10,FALSE)</f>
        <v>103</v>
      </c>
      <c r="K42" s="102">
        <f>VLOOKUP(8,$A$4:$AX$32,11,FALSE)</f>
        <v>108</v>
      </c>
      <c r="L42" s="102">
        <f>VLOOKUP(8,$A$4:$AX$32,12,FALSE)</f>
        <v>93</v>
      </c>
      <c r="M42" s="102">
        <f>VLOOKUP(8,$A$4:$AX$32,13,FALSE)</f>
        <v>103</v>
      </c>
      <c r="N42" s="102">
        <f>VLOOKUP(8,$A$4:$AX$32,14,FALSE)</f>
        <v>99</v>
      </c>
      <c r="O42" s="102">
        <f>VLOOKUP(8,$A$4:$AX$32,15,FALSE)</f>
        <v>104</v>
      </c>
      <c r="P42" s="102">
        <f>VLOOKUP(8,$A$4:$AX$32,16,FALSE)</f>
        <v>108</v>
      </c>
      <c r="Q42" s="102">
        <f>VLOOKUP(8,$A$4:$AX$32,17,FALSE)</f>
        <v>110</v>
      </c>
      <c r="R42" s="102">
        <f>VLOOKUP(8,$A$4:$AX$32,18,FALSE)</f>
        <v>110</v>
      </c>
      <c r="S42" s="102">
        <f>VLOOKUP(8,$A$4:$AX$32,19,FALSE)</f>
        <v>121</v>
      </c>
      <c r="T42" s="102">
        <f>VLOOKUP(8,$A$4:$AX$32,20,FALSE)</f>
        <v>121</v>
      </c>
      <c r="U42" s="102">
        <f>VLOOKUP(8,$A$4:$AX$32,21,FALSE)</f>
        <v>125</v>
      </c>
      <c r="V42" s="102">
        <f>VLOOKUP(8,$A$4:$AX$32,22,FALSE)</f>
        <v>120</v>
      </c>
      <c r="W42" s="102">
        <f>VLOOKUP(8,$A$4:$AX$32,23,FALSE)</f>
        <v>120</v>
      </c>
      <c r="X42" s="102">
        <f>VLOOKUP(8,$A$4:$AX$32,24,FALSE)</f>
        <v>118</v>
      </c>
      <c r="Y42" s="102">
        <f>VLOOKUP(8,$A$4:$AX$32,25,FALSE)</f>
        <v>114</v>
      </c>
      <c r="Z42" s="102">
        <f>VLOOKUP(8,$A$4:$AX$32,26,FALSE)</f>
        <v>108</v>
      </c>
      <c r="AA42" s="102">
        <f>VLOOKUP(8,$A$4:$AX$32,27,FALSE)</f>
        <v>112</v>
      </c>
      <c r="AB42" s="102">
        <f>VLOOKUP(8,$A$4:$AX$32,28,FALSE)</f>
        <v>111</v>
      </c>
      <c r="AC42" s="102">
        <f>VLOOKUP(8,$A$4:$AX$32,29,FALSE)</f>
        <v>105</v>
      </c>
      <c r="AD42" s="102">
        <f>VLOOKUP(8,$A$4:$AX$32,30,FALSE)</f>
        <v>119</v>
      </c>
      <c r="AE42" s="102">
        <f>VLOOKUP(8,$A$4:$AX$32,31,FALSE)</f>
        <v>112</v>
      </c>
      <c r="AF42" s="102">
        <f>VLOOKUP(8,$A$4:$AX$32,32,FALSE)</f>
        <v>110</v>
      </c>
      <c r="AG42" s="102">
        <f>VLOOKUP(8,$A$4:$AX$32,33,FALSE)</f>
        <v>111</v>
      </c>
    </row>
    <row r="43" spans="1:33" ht="25.5">
      <c r="A43">
        <v>9</v>
      </c>
      <c r="B43" s="77" t="s">
        <v>51</v>
      </c>
      <c r="C43" s="102">
        <f>VLOOKUP(9,$A$4:$AX$32,3,FALSE)</f>
        <v>173</v>
      </c>
      <c r="D43" s="102">
        <f>VLOOKUP(9,$A$4:$AX$32,4,FALSE)</f>
        <v>171</v>
      </c>
      <c r="E43" s="102">
        <f>VLOOKUP(9,$A$4:$AX$32,5,FALSE)</f>
        <v>172</v>
      </c>
      <c r="F43" s="102">
        <f>VLOOKUP(9,$A$4:$AX$32,6,FALSE)</f>
        <v>178</v>
      </c>
      <c r="G43" s="102">
        <f>VLOOKUP(9,$A$4:$AX$32,7,FALSE)</f>
        <v>185</v>
      </c>
      <c r="H43" s="102">
        <f>VLOOKUP(9,$A$4:$AX$32,8,FALSE)</f>
        <v>189</v>
      </c>
      <c r="I43" s="102">
        <f>VLOOKUP(9,$A$4:$AX$32,9,FALSE)</f>
        <v>181</v>
      </c>
      <c r="J43" s="102">
        <f>VLOOKUP(9,$A$4:$AX$32,10,FALSE)</f>
        <v>180</v>
      </c>
      <c r="K43" s="102">
        <f>VLOOKUP(9,$A$4:$AX$32,11,FALSE)</f>
        <v>195</v>
      </c>
      <c r="L43" s="102">
        <f>VLOOKUP(9,$A$4:$AX$32,12,FALSE)</f>
        <v>203</v>
      </c>
      <c r="M43" s="102">
        <f>VLOOKUP(9,$A$4:$AX$32,13,FALSE)</f>
        <v>201</v>
      </c>
      <c r="N43" s="102">
        <f>VLOOKUP(9,$A$4:$AX$32,14,FALSE)</f>
        <v>196</v>
      </c>
      <c r="O43" s="102">
        <f>VLOOKUP(9,$A$4:$AX$32,15,FALSE)</f>
        <v>189</v>
      </c>
      <c r="P43" s="102">
        <f>VLOOKUP(9,$A$4:$AX$32,16,FALSE)</f>
        <v>191</v>
      </c>
      <c r="Q43" s="102">
        <f>VLOOKUP(9,$A$4:$AX$32,17,FALSE)</f>
        <v>176</v>
      </c>
      <c r="R43" s="102">
        <f>VLOOKUP(9,$A$4:$AX$32,18,FALSE)</f>
        <v>184</v>
      </c>
      <c r="S43" s="102">
        <f>VLOOKUP(9,$A$4:$AX$32,19,FALSE)</f>
        <v>198</v>
      </c>
      <c r="T43" s="102">
        <f>VLOOKUP(9,$A$4:$AX$32,20,FALSE)</f>
        <v>191</v>
      </c>
      <c r="U43" s="102">
        <f>VLOOKUP(9,$A$4:$AX$32,21,FALSE)</f>
        <v>193</v>
      </c>
      <c r="V43" s="102">
        <f>VLOOKUP(9,$A$4:$AX$32,22,FALSE)</f>
        <v>191</v>
      </c>
      <c r="W43" s="102">
        <f>VLOOKUP(9,$A$4:$AX$32,23,FALSE)</f>
        <v>195</v>
      </c>
      <c r="X43" s="102">
        <f>VLOOKUP(9,$A$4:$AX$32,24,FALSE)</f>
        <v>176</v>
      </c>
      <c r="Y43" s="102">
        <f>VLOOKUP(9,$A$4:$AX$32,25,FALSE)</f>
        <v>182</v>
      </c>
      <c r="Z43" s="102">
        <f>VLOOKUP(9,$A$4:$AX$32,26,FALSE)</f>
        <v>184</v>
      </c>
      <c r="AA43" s="102">
        <f>VLOOKUP(9,$A$4:$AX$32,27,FALSE)</f>
        <v>179</v>
      </c>
      <c r="AB43" s="102">
        <f>VLOOKUP(9,$A$4:$AX$32,28,FALSE)</f>
        <v>180</v>
      </c>
      <c r="AC43" s="102">
        <f>VLOOKUP(9,$A$4:$AX$32,29,FALSE)</f>
        <v>167</v>
      </c>
      <c r="AD43" s="102">
        <f>VLOOKUP(9,$A$4:$AX$32,30,FALSE)</f>
        <v>208</v>
      </c>
      <c r="AE43" s="102">
        <f>VLOOKUP(9,$A$4:$AX$32,31,FALSE)</f>
        <v>185</v>
      </c>
      <c r="AF43" s="102">
        <f>VLOOKUP(9,$A$4:$AX$32,32,FALSE)</f>
        <v>167</v>
      </c>
      <c r="AG43" s="102">
        <f>VLOOKUP(9,$A$4:$AX$32,33,FALSE)</f>
        <v>174</v>
      </c>
    </row>
    <row r="44" spans="1:33" ht="25.5">
      <c r="A44">
        <v>10</v>
      </c>
      <c r="B44" s="77" t="s">
        <v>52</v>
      </c>
      <c r="C44" s="102">
        <f>VLOOKUP(10,$A$4:$AX$32,3,FALSE)</f>
        <v>238</v>
      </c>
      <c r="D44" s="102">
        <f>VLOOKUP(10,$A$4:$AX$32,4,FALSE)</f>
        <v>241</v>
      </c>
      <c r="E44" s="102">
        <f>VLOOKUP(10,$A$4:$AX$32,5,FALSE)</f>
        <v>247</v>
      </c>
      <c r="F44" s="102">
        <f>VLOOKUP(10,$A$4:$AX$32,6,FALSE)</f>
        <v>260</v>
      </c>
      <c r="G44" s="102">
        <f>VLOOKUP(10,$A$4:$AX$32,7,FALSE)</f>
        <v>273</v>
      </c>
      <c r="H44" s="102">
        <f>VLOOKUP(10,$A$4:$AX$32,8,FALSE)</f>
        <v>282</v>
      </c>
      <c r="I44" s="102">
        <f>VLOOKUP(10,$A$4:$AX$32,9,FALSE)</f>
        <v>288</v>
      </c>
      <c r="J44" s="102">
        <f>VLOOKUP(10,$A$4:$AX$32,10,FALSE)</f>
        <v>253</v>
      </c>
      <c r="K44" s="102">
        <f>VLOOKUP(10,$A$4:$AX$32,11,FALSE)</f>
        <v>329</v>
      </c>
      <c r="L44" s="102">
        <f>VLOOKUP(10,$A$4:$AX$32,12,FALSE)</f>
        <v>314</v>
      </c>
      <c r="M44" s="102">
        <f>VLOOKUP(10,$A$4:$AX$32,13,FALSE)</f>
        <v>313</v>
      </c>
      <c r="N44" s="102">
        <f>VLOOKUP(10,$A$4:$AX$32,14,FALSE)</f>
        <v>308</v>
      </c>
      <c r="O44" s="102">
        <f>VLOOKUP(10,$A$4:$AX$32,15,FALSE)</f>
        <v>295</v>
      </c>
      <c r="P44" s="102">
        <f>VLOOKUP(10,$A$4:$AX$32,16,FALSE)</f>
        <v>285</v>
      </c>
      <c r="Q44" s="102">
        <f>VLOOKUP(10,$A$4:$AX$32,17,FALSE)</f>
        <v>283</v>
      </c>
      <c r="R44" s="102">
        <f>VLOOKUP(10,$A$4:$AX$32,18,FALSE)</f>
        <v>306</v>
      </c>
      <c r="S44" s="102">
        <f>VLOOKUP(10,$A$4:$AX$32,19,FALSE)</f>
        <v>309</v>
      </c>
      <c r="T44" s="102">
        <f>VLOOKUP(10,$A$4:$AX$32,20,FALSE)</f>
        <v>331</v>
      </c>
      <c r="U44" s="102">
        <f>VLOOKUP(10,$A$4:$AX$32,21,FALSE)</f>
        <v>320</v>
      </c>
      <c r="V44" s="102">
        <f>VLOOKUP(10,$A$4:$AX$32,22,FALSE)</f>
        <v>329</v>
      </c>
      <c r="W44" s="102">
        <f>VLOOKUP(10,$A$4:$AX$32,23,FALSE)</f>
        <v>334</v>
      </c>
      <c r="X44" s="102">
        <f>VLOOKUP(10,$A$4:$AX$32,24,FALSE)</f>
        <v>314</v>
      </c>
      <c r="Y44" s="102">
        <f>VLOOKUP(10,$A$4:$AX$32,25,FALSE)</f>
        <v>332</v>
      </c>
      <c r="Z44" s="102">
        <f>VLOOKUP(10,$A$4:$AX$32,26,FALSE)</f>
        <v>322</v>
      </c>
      <c r="AA44" s="102">
        <f>VLOOKUP(10,$A$4:$AX$32,27,FALSE)</f>
        <v>314</v>
      </c>
      <c r="AB44" s="102">
        <f>VLOOKUP(10,$A$4:$AX$32,28,FALSE)</f>
        <v>315</v>
      </c>
      <c r="AC44" s="102">
        <f>VLOOKUP(10,$A$4:$AX$32,29,FALSE)</f>
        <v>305</v>
      </c>
      <c r="AD44" s="102">
        <f>VLOOKUP(10,$A$4:$AX$32,30,FALSE)</f>
        <v>332</v>
      </c>
      <c r="AE44" s="102">
        <f>VLOOKUP(10,$A$4:$AX$32,31,FALSE)</f>
        <v>305</v>
      </c>
      <c r="AF44" s="102">
        <f>VLOOKUP(10,$A$4:$AX$32,32,FALSE)</f>
        <v>305</v>
      </c>
      <c r="AG44" s="102">
        <f>VLOOKUP(10,$A$4:$AX$32,33,FALSE)</f>
        <v>308</v>
      </c>
    </row>
    <row r="45" spans="1:33" ht="12.75">
      <c r="A45">
        <v>11</v>
      </c>
      <c r="B45" s="77" t="s">
        <v>53</v>
      </c>
      <c r="C45" s="102">
        <f>VLOOKUP(11,$A$4:$AX$32,3,FALSE)</f>
        <v>1191</v>
      </c>
      <c r="D45" s="102">
        <f>VLOOKUP(11,$A$4:$AX$32,4,FALSE)</f>
        <v>1157</v>
      </c>
      <c r="E45" s="102">
        <f>VLOOKUP(11,$A$4:$AX$32,5,FALSE)</f>
        <v>1151</v>
      </c>
      <c r="F45" s="102">
        <f>VLOOKUP(11,$A$4:$AX$32,6,FALSE)</f>
        <v>1173</v>
      </c>
      <c r="G45" s="102">
        <f>VLOOKUP(11,$A$4:$AX$32,7,FALSE)</f>
        <v>1244</v>
      </c>
      <c r="H45" s="102">
        <f>VLOOKUP(11,$A$4:$AX$32,8,FALSE)</f>
        <v>1299</v>
      </c>
      <c r="I45" s="102">
        <f>VLOOKUP(11,$A$4:$AX$32,9,FALSE)</f>
        <v>1245</v>
      </c>
      <c r="J45" s="102">
        <f>VLOOKUP(11,$A$4:$AX$32,10,FALSE)</f>
        <v>1204</v>
      </c>
      <c r="K45" s="102">
        <f>VLOOKUP(11,$A$4:$AX$32,11,FALSE)</f>
        <v>1416</v>
      </c>
      <c r="L45" s="102">
        <f>VLOOKUP(11,$A$4:$AX$32,12,FALSE)</f>
        <v>1380</v>
      </c>
      <c r="M45" s="102">
        <f>VLOOKUP(11,$A$4:$AX$32,13,FALSE)</f>
        <v>1405</v>
      </c>
      <c r="N45" s="102">
        <f>VLOOKUP(11,$A$4:$AX$32,14,FALSE)</f>
        <v>1338</v>
      </c>
      <c r="O45" s="102">
        <f>VLOOKUP(11,$A$4:$AX$32,15,FALSE)</f>
        <v>1323</v>
      </c>
      <c r="P45" s="102">
        <f>VLOOKUP(11,$A$4:$AX$32,16,FALSE)</f>
        <v>1347</v>
      </c>
      <c r="Q45" s="102">
        <f>VLOOKUP(11,$A$4:$AX$32,17,FALSE)</f>
        <v>1330</v>
      </c>
      <c r="R45" s="102">
        <f>VLOOKUP(11,$A$4:$AX$32,18,FALSE)</f>
        <v>1379</v>
      </c>
      <c r="S45" s="102">
        <f>VLOOKUP(11,$A$4:$AX$32,19,FALSE)</f>
        <v>1453</v>
      </c>
      <c r="T45" s="102">
        <f>VLOOKUP(11,$A$4:$AX$32,20,FALSE)</f>
        <v>1455</v>
      </c>
      <c r="U45" s="102">
        <f>VLOOKUP(11,$A$4:$AX$32,21,FALSE)</f>
        <v>1435</v>
      </c>
      <c r="V45" s="102">
        <f>VLOOKUP(11,$A$4:$AX$32,22,FALSE)</f>
        <v>1454</v>
      </c>
      <c r="W45" s="102">
        <f>VLOOKUP(11,$A$4:$AX$32,23,FALSE)</f>
        <v>1523</v>
      </c>
      <c r="X45" s="102">
        <f>VLOOKUP(11,$A$4:$AX$32,24,FALSE)</f>
        <v>1458</v>
      </c>
      <c r="Y45" s="102">
        <f>VLOOKUP(11,$A$4:$AX$32,25,FALSE)</f>
        <v>1550</v>
      </c>
      <c r="Z45" s="102">
        <f>VLOOKUP(11,$A$4:$AX$32,26,FALSE)</f>
        <v>1520</v>
      </c>
      <c r="AA45" s="102">
        <f>VLOOKUP(11,$A$4:$AX$32,27,FALSE)</f>
        <v>1440</v>
      </c>
      <c r="AB45" s="102">
        <f>VLOOKUP(11,$A$4:$AX$32,28,FALSE)</f>
        <v>1479</v>
      </c>
      <c r="AC45" s="102">
        <f>VLOOKUP(11,$A$4:$AX$32,29,FALSE)</f>
        <v>1428</v>
      </c>
      <c r="AD45" s="102">
        <f>VLOOKUP(11,$A$4:$AX$32,30,FALSE)</f>
        <v>1515</v>
      </c>
      <c r="AE45" s="102">
        <f>VLOOKUP(11,$A$4:$AX$32,31,FALSE)</f>
        <v>1482</v>
      </c>
      <c r="AF45" s="102">
        <f>VLOOKUP(11,$A$4:$AX$32,32,FALSE)</f>
        <v>1444</v>
      </c>
      <c r="AG45" s="102">
        <f>VLOOKUP(11,$A$4:$AX$32,33,FALSE)</f>
        <v>1526</v>
      </c>
    </row>
    <row r="46" spans="1:33" ht="12.75">
      <c r="A46">
        <v>12</v>
      </c>
      <c r="B46" s="77" t="s">
        <v>54</v>
      </c>
      <c r="C46" s="102">
        <f>VLOOKUP(12,$A$4:$AX$32,3,FALSE)</f>
        <v>418</v>
      </c>
      <c r="D46" s="102">
        <f>VLOOKUP(12,$A$4:$AX$32,4,FALSE)</f>
        <v>393</v>
      </c>
      <c r="E46" s="102">
        <f>VLOOKUP(12,$A$4:$AX$32,5,FALSE)</f>
        <v>444</v>
      </c>
      <c r="F46" s="102">
        <f>VLOOKUP(12,$A$4:$AX$32,6,FALSE)</f>
        <v>458</v>
      </c>
      <c r="G46" s="102">
        <f>VLOOKUP(12,$A$4:$AX$32,7,FALSE)</f>
        <v>471</v>
      </c>
      <c r="H46" s="102">
        <f>VLOOKUP(12,$A$4:$AX$32,8,FALSE)</f>
        <v>482</v>
      </c>
      <c r="I46" s="102">
        <f>VLOOKUP(12,$A$4:$AX$32,9,FALSE)</f>
        <v>477</v>
      </c>
      <c r="J46" s="102">
        <f>VLOOKUP(12,$A$4:$AX$32,10,FALSE)</f>
        <v>467</v>
      </c>
      <c r="K46" s="102">
        <f>VLOOKUP(12,$A$4:$AX$32,11,FALSE)</f>
        <v>546</v>
      </c>
      <c r="L46" s="102">
        <f>VLOOKUP(12,$A$4:$AX$32,12,FALSE)</f>
        <v>500</v>
      </c>
      <c r="M46" s="102">
        <f>VLOOKUP(12,$A$4:$AX$32,13,FALSE)</f>
        <v>517</v>
      </c>
      <c r="N46" s="102">
        <f>VLOOKUP(12,$A$4:$AX$32,14,FALSE)</f>
        <v>491</v>
      </c>
      <c r="O46" s="102">
        <f>VLOOKUP(12,$A$4:$AX$32,15,FALSE)</f>
        <v>481</v>
      </c>
      <c r="P46" s="102">
        <f>VLOOKUP(12,$A$4:$AX$32,16,FALSE)</f>
        <v>479</v>
      </c>
      <c r="Q46" s="102">
        <f>VLOOKUP(12,$A$4:$AX$32,17,FALSE)</f>
        <v>516</v>
      </c>
      <c r="R46" s="102">
        <f>VLOOKUP(12,$A$4:$AX$32,18,FALSE)</f>
        <v>498</v>
      </c>
      <c r="S46" s="102">
        <f>VLOOKUP(12,$A$4:$AX$32,19,FALSE)</f>
        <v>514</v>
      </c>
      <c r="T46" s="102">
        <f>VLOOKUP(12,$A$4:$AX$32,20,FALSE)</f>
        <v>530</v>
      </c>
      <c r="U46" s="102">
        <f>VLOOKUP(12,$A$4:$AX$32,21,FALSE)</f>
        <v>515</v>
      </c>
      <c r="V46" s="102">
        <f>VLOOKUP(12,$A$4:$AX$32,22,FALSE)</f>
        <v>501</v>
      </c>
      <c r="W46" s="102">
        <f>VLOOKUP(12,$A$4:$AX$32,23,FALSE)</f>
        <v>554</v>
      </c>
      <c r="X46" s="102">
        <f>VLOOKUP(12,$A$4:$AX$32,24,FALSE)</f>
        <v>532</v>
      </c>
      <c r="Y46" s="102">
        <f>VLOOKUP(12,$A$4:$AX$32,25,FALSE)</f>
        <v>556</v>
      </c>
      <c r="Z46" s="102">
        <f>VLOOKUP(12,$A$4:$AX$32,26,FALSE)</f>
        <v>560</v>
      </c>
      <c r="AA46" s="102">
        <f>VLOOKUP(12,$A$4:$AX$32,27,FALSE)</f>
        <v>534</v>
      </c>
      <c r="AB46" s="102">
        <f>VLOOKUP(12,$A$4:$AX$32,28,FALSE)</f>
        <v>555</v>
      </c>
      <c r="AC46" s="102">
        <f>VLOOKUP(12,$A$4:$AX$32,29,FALSE)</f>
        <v>544</v>
      </c>
      <c r="AD46" s="102">
        <f>VLOOKUP(12,$A$4:$AX$32,30,FALSE)</f>
        <v>564</v>
      </c>
      <c r="AE46" s="102">
        <f>VLOOKUP(12,$A$4:$AX$32,31,FALSE)</f>
        <v>538</v>
      </c>
      <c r="AF46" s="102">
        <f>VLOOKUP(12,$A$4:$AX$32,32,FALSE)</f>
        <v>538</v>
      </c>
      <c r="AG46" s="102">
        <f>VLOOKUP(12,$A$4:$AX$32,33,FALSE)</f>
        <v>560</v>
      </c>
    </row>
    <row r="47" spans="1:33" ht="12.75">
      <c r="A47">
        <v>13</v>
      </c>
      <c r="B47" s="77" t="s">
        <v>55</v>
      </c>
      <c r="C47" s="102">
        <f>VLOOKUP(13,$A$4:$AX$32,3,FALSE)</f>
        <v>346</v>
      </c>
      <c r="D47" s="102">
        <f>VLOOKUP(13,$A$4:$AX$32,4,FALSE)</f>
        <v>347</v>
      </c>
      <c r="E47" s="102">
        <f>VLOOKUP(13,$A$4:$AX$32,5,FALSE)</f>
        <v>373</v>
      </c>
      <c r="F47" s="102">
        <f>VLOOKUP(13,$A$4:$AX$32,6,FALSE)</f>
        <v>360</v>
      </c>
      <c r="G47" s="102">
        <f>VLOOKUP(13,$A$4:$AX$32,7,FALSE)</f>
        <v>374</v>
      </c>
      <c r="H47" s="102">
        <f>VLOOKUP(13,$A$4:$AX$32,8,FALSE)</f>
        <v>377</v>
      </c>
      <c r="I47" s="102">
        <f>VLOOKUP(13,$A$4:$AX$32,9,FALSE)</f>
        <v>372</v>
      </c>
      <c r="J47" s="102">
        <f>VLOOKUP(13,$A$4:$AX$32,10,FALSE)</f>
        <v>335</v>
      </c>
      <c r="K47" s="102">
        <f>VLOOKUP(13,$A$4:$AX$32,11,FALSE)</f>
        <v>406</v>
      </c>
      <c r="L47" s="102">
        <f>VLOOKUP(13,$A$4:$AX$32,12,FALSE)</f>
        <v>394</v>
      </c>
      <c r="M47" s="102">
        <f>VLOOKUP(13,$A$4:$AX$32,13,FALSE)</f>
        <v>388</v>
      </c>
      <c r="N47" s="102">
        <f>VLOOKUP(13,$A$4:$AX$32,14,FALSE)</f>
        <v>383</v>
      </c>
      <c r="O47" s="102">
        <f>VLOOKUP(13,$A$4:$AX$32,15,FALSE)</f>
        <v>378</v>
      </c>
      <c r="P47" s="102">
        <f>VLOOKUP(13,$A$4:$AX$32,16,FALSE)</f>
        <v>391</v>
      </c>
      <c r="Q47" s="102">
        <f>VLOOKUP(13,$A$4:$AX$32,17,FALSE)</f>
        <v>388</v>
      </c>
      <c r="R47" s="102">
        <f>VLOOKUP(13,$A$4:$AX$32,18,FALSE)</f>
        <v>404</v>
      </c>
      <c r="S47" s="102">
        <f>VLOOKUP(13,$A$4:$AX$32,19,FALSE)</f>
        <v>406</v>
      </c>
      <c r="T47" s="102">
        <f>VLOOKUP(13,$A$4:$AX$32,20,FALSE)</f>
        <v>414</v>
      </c>
      <c r="U47" s="102">
        <f>VLOOKUP(13,$A$4:$AX$32,21,FALSE)</f>
        <v>399</v>
      </c>
      <c r="V47" s="102">
        <f>VLOOKUP(13,$A$4:$AX$32,22,FALSE)</f>
        <v>399</v>
      </c>
      <c r="W47" s="102">
        <f>VLOOKUP(13,$A$4:$AX$32,23,FALSE)</f>
        <v>394</v>
      </c>
      <c r="X47" s="102">
        <f>VLOOKUP(13,$A$4:$AX$32,24,FALSE)</f>
        <v>380</v>
      </c>
      <c r="Y47" s="102">
        <f>VLOOKUP(13,$A$4:$AX$32,25,FALSE)</f>
        <v>402</v>
      </c>
      <c r="Z47" s="102">
        <f>VLOOKUP(13,$A$4:$AX$32,26,FALSE)</f>
        <v>410</v>
      </c>
      <c r="AA47" s="102">
        <f>VLOOKUP(13,$A$4:$AX$32,27,FALSE)</f>
        <v>377</v>
      </c>
      <c r="AB47" s="102">
        <f>VLOOKUP(13,$A$4:$AX$32,28,FALSE)</f>
        <v>392</v>
      </c>
      <c r="AC47" s="102">
        <f>VLOOKUP(13,$A$4:$AX$32,29,FALSE)</f>
        <v>373</v>
      </c>
      <c r="AD47" s="102">
        <f>VLOOKUP(13,$A$4:$AX$32,30,FALSE)</f>
        <v>374</v>
      </c>
      <c r="AE47" s="102">
        <f>VLOOKUP(13,$A$4:$AX$32,31,FALSE)</f>
        <v>373</v>
      </c>
      <c r="AF47" s="102">
        <f>VLOOKUP(13,$A$4:$AX$32,32,FALSE)</f>
        <v>377</v>
      </c>
      <c r="AG47" s="102">
        <f>VLOOKUP(13,$A$4:$AX$32,33,FALSE)</f>
        <v>404</v>
      </c>
    </row>
    <row r="48" spans="1:33" ht="12.75">
      <c r="A48">
        <v>14</v>
      </c>
      <c r="B48" s="77" t="s">
        <v>56</v>
      </c>
      <c r="C48" s="102">
        <f>VLOOKUP(14,$A$4:$AX$32,3,FALSE)</f>
        <v>18</v>
      </c>
      <c r="D48" s="102">
        <f>VLOOKUP(14,$A$4:$AX$32,4,FALSE)</f>
        <v>17</v>
      </c>
      <c r="E48" s="102">
        <f>VLOOKUP(14,$A$4:$AX$32,5,FALSE)</f>
        <v>20</v>
      </c>
      <c r="F48" s="102">
        <f>VLOOKUP(14,$A$4:$AX$32,6,FALSE)</f>
        <v>22</v>
      </c>
      <c r="G48" s="102">
        <f>VLOOKUP(14,$A$4:$AX$32,7,FALSE)</f>
        <v>22</v>
      </c>
      <c r="H48" s="102">
        <f>VLOOKUP(14,$A$4:$AX$32,8,FALSE)</f>
        <v>28</v>
      </c>
      <c r="I48" s="102">
        <f>VLOOKUP(14,$A$4:$AX$32,9,FALSE)</f>
        <v>30</v>
      </c>
      <c r="J48" s="102">
        <f>VLOOKUP(14,$A$4:$AX$32,10,FALSE)</f>
        <v>22</v>
      </c>
      <c r="K48" s="102">
        <f>VLOOKUP(14,$A$4:$AX$32,11,FALSE)</f>
        <v>29</v>
      </c>
      <c r="L48" s="102">
        <f>VLOOKUP(14,$A$4:$AX$32,12,FALSE)</f>
        <v>32</v>
      </c>
      <c r="M48" s="102">
        <f>VLOOKUP(14,$A$4:$AX$32,13,FALSE)</f>
        <v>29</v>
      </c>
      <c r="N48" s="102">
        <f>VLOOKUP(14,$A$4:$AX$32,14,FALSE)</f>
        <v>34</v>
      </c>
      <c r="O48" s="102">
        <f>VLOOKUP(14,$A$4:$AX$32,15,FALSE)</f>
        <v>36</v>
      </c>
      <c r="P48" s="102">
        <f>VLOOKUP(14,$A$4:$AX$32,16,FALSE)</f>
        <v>38</v>
      </c>
      <c r="Q48" s="102">
        <f>VLOOKUP(14,$A$4:$AX$32,17,FALSE)</f>
        <v>41</v>
      </c>
      <c r="R48" s="102">
        <f>VLOOKUP(14,$A$4:$AX$32,18,FALSE)</f>
        <v>36</v>
      </c>
      <c r="S48" s="102">
        <f>VLOOKUP(14,$A$4:$AX$32,19,FALSE)</f>
        <v>46</v>
      </c>
      <c r="T48" s="102">
        <f>VLOOKUP(14,$A$4:$AX$32,20,FALSE)</f>
        <v>51</v>
      </c>
      <c r="U48" s="102">
        <f>VLOOKUP(14,$A$4:$AX$32,21,FALSE)</f>
        <v>45</v>
      </c>
      <c r="V48" s="102">
        <f>VLOOKUP(14,$A$4:$AX$32,22,FALSE)</f>
        <v>51</v>
      </c>
      <c r="W48" s="102">
        <f>VLOOKUP(14,$A$4:$AX$32,23,FALSE)</f>
        <v>60</v>
      </c>
      <c r="X48" s="102">
        <f>VLOOKUP(14,$A$4:$AX$32,24,FALSE)</f>
        <v>53</v>
      </c>
      <c r="Y48" s="102">
        <f>VLOOKUP(14,$A$4:$AX$32,25,FALSE)</f>
        <v>62</v>
      </c>
      <c r="Z48" s="102">
        <f>VLOOKUP(14,$A$4:$AX$32,26,FALSE)</f>
        <v>64</v>
      </c>
      <c r="AA48" s="102">
        <f>VLOOKUP(14,$A$4:$AX$32,27,FALSE)</f>
        <v>72</v>
      </c>
      <c r="AB48" s="102">
        <f>VLOOKUP(14,$A$4:$AX$32,28,FALSE)</f>
        <v>72</v>
      </c>
      <c r="AC48" s="102">
        <f>VLOOKUP(14,$A$4:$AX$32,29,FALSE)</f>
        <v>66</v>
      </c>
      <c r="AD48" s="102">
        <f>VLOOKUP(14,$A$4:$AX$32,30,FALSE)</f>
        <v>75</v>
      </c>
      <c r="AE48" s="102">
        <f>VLOOKUP(14,$A$4:$AX$32,31,FALSE)</f>
        <v>71</v>
      </c>
      <c r="AF48" s="102">
        <f>VLOOKUP(14,$A$4:$AX$32,32,FALSE)</f>
        <v>55</v>
      </c>
      <c r="AG48" s="102">
        <f>VLOOKUP(14,$A$4:$AX$32,33,FALSE)</f>
        <v>66</v>
      </c>
    </row>
    <row r="49" spans="1:33" ht="12.75">
      <c r="A49">
        <v>15</v>
      </c>
      <c r="B49" s="77" t="s">
        <v>57</v>
      </c>
      <c r="C49" s="102">
        <f>VLOOKUP(15,$A$4:$AX$32,3,FALSE)</f>
        <v>0</v>
      </c>
      <c r="D49" s="102">
        <f>VLOOKUP(15,$A$4:$AX$32,4,FALSE)</f>
        <v>0</v>
      </c>
      <c r="E49" s="102">
        <f>VLOOKUP(15,$A$4:$AX$32,5,FALSE)</f>
        <v>0</v>
      </c>
      <c r="F49" s="102">
        <f>VLOOKUP(15,$A$4:$AX$32,6,FALSE)</f>
        <v>0</v>
      </c>
      <c r="G49" s="102">
        <f>VLOOKUP(15,$A$4:$AX$32,7,FALSE)</f>
        <v>0</v>
      </c>
      <c r="H49" s="102">
        <f>VLOOKUP(15,$A$4:$AX$32,8,FALSE)</f>
        <v>0</v>
      </c>
      <c r="I49" s="102">
        <f>VLOOKUP(15,$A$4:$AX$32,9,FALSE)</f>
        <v>0</v>
      </c>
      <c r="J49" s="102">
        <f>VLOOKUP(15,$A$4:$AX$32,10,FALSE)</f>
        <v>0</v>
      </c>
      <c r="K49" s="102">
        <f>VLOOKUP(15,$A$4:$AX$32,11,FALSE)</f>
        <v>0</v>
      </c>
      <c r="L49" s="102">
        <f>VLOOKUP(15,$A$4:$AX$32,12,FALSE)</f>
        <v>0</v>
      </c>
      <c r="M49" s="102">
        <f>VLOOKUP(15,$A$4:$AX$32,13,FALSE)</f>
        <v>0</v>
      </c>
      <c r="N49" s="102">
        <f>VLOOKUP(15,$A$4:$AX$32,14,FALSE)</f>
        <v>0</v>
      </c>
      <c r="O49" s="102">
        <f>VLOOKUP(15,$A$4:$AX$32,15,FALSE)</f>
        <v>0</v>
      </c>
      <c r="P49" s="102">
        <f>VLOOKUP(15,$A$4:$AX$32,16,FALSE)</f>
        <v>0</v>
      </c>
      <c r="Q49" s="102">
        <f>VLOOKUP(15,$A$4:$AX$32,17,FALSE)</f>
        <v>0</v>
      </c>
      <c r="R49" s="102">
        <f>VLOOKUP(15,$A$4:$AX$32,18,FALSE)</f>
        <v>0</v>
      </c>
      <c r="S49" s="102">
        <f>VLOOKUP(15,$A$4:$AX$32,19,FALSE)</f>
        <v>0</v>
      </c>
      <c r="T49" s="102">
        <f>VLOOKUP(15,$A$4:$AX$32,20,FALSE)</f>
        <v>0</v>
      </c>
      <c r="U49" s="102">
        <f>VLOOKUP(15,$A$4:$AX$32,21,FALSE)</f>
        <v>0</v>
      </c>
      <c r="V49" s="102">
        <f>VLOOKUP(15,$A$4:$AX$32,22,FALSE)</f>
        <v>44</v>
      </c>
      <c r="W49" s="102">
        <f>VLOOKUP(15,$A$4:$AX$32,23,FALSE)</f>
        <v>111</v>
      </c>
      <c r="X49" s="102">
        <f>VLOOKUP(15,$A$4:$AX$32,24,FALSE)</f>
        <v>141</v>
      </c>
      <c r="Y49" s="102">
        <f>VLOOKUP(15,$A$4:$AX$32,25,FALSE)</f>
        <v>208</v>
      </c>
      <c r="Z49" s="102">
        <f>VLOOKUP(15,$A$4:$AX$32,26,FALSE)</f>
        <v>284</v>
      </c>
      <c r="AA49" s="102">
        <f>VLOOKUP(15,$A$4:$AX$32,27,FALSE)</f>
        <v>298</v>
      </c>
      <c r="AB49" s="102">
        <f>VLOOKUP(15,$A$4:$AX$32,28,FALSE)</f>
        <v>324</v>
      </c>
      <c r="AC49" s="102">
        <f>VLOOKUP(15,$A$4:$AX$32,29,FALSE)</f>
        <v>392</v>
      </c>
      <c r="AD49" s="102">
        <f>VLOOKUP(15,$A$4:$AX$32,30,FALSE)</f>
        <v>435</v>
      </c>
      <c r="AE49" s="102">
        <f>VLOOKUP(15,$A$4:$AX$32,31,FALSE)</f>
        <v>459</v>
      </c>
      <c r="AF49" s="102">
        <f>VLOOKUP(15,$A$4:$AX$32,32,FALSE)</f>
        <v>456</v>
      </c>
      <c r="AG49" s="102">
        <f>VLOOKUP(15,$A$4:$AX$32,33,FALSE)</f>
        <v>523</v>
      </c>
    </row>
    <row r="50" spans="1:33" ht="12.75">
      <c r="A50">
        <v>16</v>
      </c>
      <c r="B50" s="77" t="s">
        <v>58</v>
      </c>
      <c r="C50" s="102">
        <f>VLOOKUP(16,$A$4:$AX$32,3,FALSE)</f>
        <v>201</v>
      </c>
      <c r="D50" s="102">
        <f>VLOOKUP(16,$A$4:$AX$32,4,FALSE)</f>
        <v>195</v>
      </c>
      <c r="E50" s="102">
        <f>VLOOKUP(16,$A$4:$AX$32,5,FALSE)</f>
        <v>200</v>
      </c>
      <c r="F50" s="102">
        <f>VLOOKUP(16,$A$4:$AX$32,6,FALSE)</f>
        <v>225</v>
      </c>
      <c r="G50" s="102">
        <f>VLOOKUP(16,$A$4:$AX$32,7,FALSE)</f>
        <v>244</v>
      </c>
      <c r="H50" s="102">
        <f>VLOOKUP(16,$A$4:$AX$32,8,FALSE)</f>
        <v>257</v>
      </c>
      <c r="I50" s="102">
        <f>VLOOKUP(16,$A$4:$AX$32,9,FALSE)</f>
        <v>279</v>
      </c>
      <c r="J50" s="102">
        <f>VLOOKUP(16,$A$4:$AX$32,10,FALSE)</f>
        <v>259</v>
      </c>
      <c r="K50" s="102">
        <f>VLOOKUP(16,$A$4:$AX$32,11,FALSE)</f>
        <v>331</v>
      </c>
      <c r="L50" s="102">
        <f>VLOOKUP(16,$A$4:$AX$32,12,FALSE)</f>
        <v>317</v>
      </c>
      <c r="M50" s="102">
        <f>VLOOKUP(16,$A$4:$AX$32,13,FALSE)</f>
        <v>348</v>
      </c>
      <c r="N50" s="102">
        <f>VLOOKUP(16,$A$4:$AX$32,14,FALSE)</f>
        <v>335</v>
      </c>
      <c r="O50" s="102">
        <f>VLOOKUP(16,$A$4:$AX$32,15,FALSE)</f>
        <v>324</v>
      </c>
      <c r="P50" s="102">
        <f>VLOOKUP(16,$A$4:$AX$32,16,FALSE)</f>
        <v>336</v>
      </c>
      <c r="Q50" s="102">
        <f>VLOOKUP(16,$A$4:$AX$32,17,FALSE)</f>
        <v>348</v>
      </c>
      <c r="R50" s="102">
        <f>VLOOKUP(16,$A$4:$AX$32,18,FALSE)</f>
        <v>369</v>
      </c>
      <c r="S50" s="102">
        <f>VLOOKUP(16,$A$4:$AX$32,19,FALSE)</f>
        <v>397</v>
      </c>
      <c r="T50" s="102">
        <f>VLOOKUP(16,$A$4:$AX$32,20,FALSE)</f>
        <v>409</v>
      </c>
      <c r="U50" s="102">
        <f>VLOOKUP(16,$A$4:$AX$32,21,FALSE)</f>
        <v>396</v>
      </c>
      <c r="V50" s="102">
        <f>VLOOKUP(16,$A$4:$AX$32,22,FALSE)</f>
        <v>420</v>
      </c>
      <c r="W50" s="102">
        <f>VLOOKUP(16,$A$4:$AX$32,23,FALSE)</f>
        <v>453</v>
      </c>
      <c r="X50" s="102">
        <f>VLOOKUP(16,$A$4:$AX$32,24,FALSE)</f>
        <v>424</v>
      </c>
      <c r="Y50" s="102">
        <f>VLOOKUP(16,$A$4:$AX$32,25,FALSE)</f>
        <v>463</v>
      </c>
      <c r="Z50" s="102">
        <f>VLOOKUP(16,$A$4:$AX$32,26,FALSE)</f>
        <v>456</v>
      </c>
      <c r="AA50" s="102">
        <f>VLOOKUP(16,$A$4:$AX$32,27,FALSE)</f>
        <v>445</v>
      </c>
      <c r="AB50" s="102">
        <f>VLOOKUP(16,$A$4:$AX$32,28,FALSE)</f>
        <v>444</v>
      </c>
      <c r="AC50" s="102">
        <f>VLOOKUP(16,$A$4:$AX$32,29,FALSE)</f>
        <v>447</v>
      </c>
      <c r="AD50" s="102">
        <f>VLOOKUP(16,$A$4:$AX$32,30,FALSE)</f>
        <v>449</v>
      </c>
      <c r="AE50" s="102">
        <f>VLOOKUP(16,$A$4:$AX$32,31,FALSE)</f>
        <v>460</v>
      </c>
      <c r="AF50" s="102">
        <f>VLOOKUP(16,$A$4:$AX$32,32,FALSE)</f>
        <v>428</v>
      </c>
      <c r="AG50" s="102">
        <f>VLOOKUP(16,$A$4:$AX$32,33,FALSE)</f>
        <v>464</v>
      </c>
    </row>
    <row r="51" spans="1:33" ht="12.75">
      <c r="A51">
        <v>17</v>
      </c>
      <c r="B51" s="77" t="s">
        <v>59</v>
      </c>
      <c r="C51" s="102">
        <f>VLOOKUP(17,$A$4:$AX$32,3,FALSE)</f>
        <v>18</v>
      </c>
      <c r="D51" s="102">
        <f>VLOOKUP(17,$A$4:$AX$32,4,FALSE)</f>
        <v>18</v>
      </c>
      <c r="E51" s="102">
        <f>VLOOKUP(17,$A$4:$AX$32,5,FALSE)</f>
        <v>16</v>
      </c>
      <c r="F51" s="102">
        <f>VLOOKUP(17,$A$4:$AX$32,6,FALSE)</f>
        <v>25</v>
      </c>
      <c r="G51" s="102">
        <f>VLOOKUP(17,$A$4:$AX$32,7,FALSE)</f>
        <v>29</v>
      </c>
      <c r="H51" s="102">
        <f>VLOOKUP(17,$A$4:$AX$32,8,FALSE)</f>
        <v>32</v>
      </c>
      <c r="I51" s="102">
        <f>VLOOKUP(17,$A$4:$AX$32,9,FALSE)</f>
        <v>36</v>
      </c>
      <c r="J51" s="102">
        <f>VLOOKUP(17,$A$4:$AX$32,10,FALSE)</f>
        <v>28</v>
      </c>
      <c r="K51" s="102">
        <f>VLOOKUP(17,$A$4:$AX$32,11,FALSE)</f>
        <v>34</v>
      </c>
      <c r="L51" s="102">
        <f>VLOOKUP(17,$A$4:$AX$32,12,FALSE)</f>
        <v>28</v>
      </c>
      <c r="M51" s="102">
        <f>VLOOKUP(17,$A$4:$AX$32,13,FALSE)</f>
        <v>32</v>
      </c>
      <c r="N51" s="102">
        <f>VLOOKUP(17,$A$4:$AX$32,14,FALSE)</f>
        <v>32</v>
      </c>
      <c r="O51" s="102">
        <f>VLOOKUP(17,$A$4:$AX$32,15,FALSE)</f>
        <v>37</v>
      </c>
      <c r="P51" s="102">
        <f>VLOOKUP(17,$A$4:$AX$32,16,FALSE)</f>
        <v>44</v>
      </c>
      <c r="Q51" s="102">
        <f>VLOOKUP(17,$A$4:$AX$32,17,FALSE)</f>
        <v>44</v>
      </c>
      <c r="R51" s="102">
        <f>VLOOKUP(17,$A$4:$AX$32,18,FALSE)</f>
        <v>44</v>
      </c>
      <c r="S51" s="102">
        <f>VLOOKUP(17,$A$4:$AX$32,19,FALSE)</f>
        <v>47</v>
      </c>
      <c r="T51" s="102">
        <f>VLOOKUP(17,$A$4:$AX$32,20,FALSE)</f>
        <v>46</v>
      </c>
      <c r="U51" s="102">
        <f>VLOOKUP(17,$A$4:$AX$32,21,FALSE)</f>
        <v>50</v>
      </c>
      <c r="V51" s="102">
        <f>VLOOKUP(17,$A$4:$AX$32,22,FALSE)</f>
        <v>43</v>
      </c>
      <c r="W51" s="102">
        <f>VLOOKUP(17,$A$4:$AX$32,23,FALSE)</f>
        <v>55</v>
      </c>
      <c r="X51" s="102">
        <f>VLOOKUP(17,$A$4:$AX$32,24,FALSE)</f>
        <v>52</v>
      </c>
      <c r="Y51" s="102">
        <f>VLOOKUP(17,$A$4:$AX$32,25,FALSE)</f>
        <v>57</v>
      </c>
      <c r="Z51" s="102">
        <f>VLOOKUP(17,$A$4:$AX$32,26,FALSE)</f>
        <v>56</v>
      </c>
      <c r="AA51" s="102">
        <f>VLOOKUP(17,$A$4:$AX$32,27,FALSE)</f>
        <v>53</v>
      </c>
      <c r="AB51" s="102">
        <f>VLOOKUP(17,$A$4:$AX$32,28,FALSE)</f>
        <v>55</v>
      </c>
      <c r="AC51" s="102">
        <f>VLOOKUP(17,$A$4:$AX$32,29,FALSE)</f>
        <v>59</v>
      </c>
      <c r="AD51" s="102">
        <f>VLOOKUP(17,$A$4:$AX$32,30,FALSE)</f>
        <v>60</v>
      </c>
      <c r="AE51" s="102">
        <f>VLOOKUP(17,$A$4:$AX$32,31,FALSE)</f>
        <v>64</v>
      </c>
      <c r="AF51" s="102">
        <f>VLOOKUP(17,$A$4:$AX$32,32,FALSE)</f>
        <v>59</v>
      </c>
      <c r="AG51" s="102">
        <f>VLOOKUP(17,$A$4:$AX$32,33,FALSE)</f>
        <v>72</v>
      </c>
    </row>
    <row r="52" spans="1:33" ht="12.75">
      <c r="A52">
        <v>18</v>
      </c>
      <c r="B52" s="77" t="s">
        <v>60</v>
      </c>
      <c r="C52" s="102">
        <f>VLOOKUP(18,$A$4:$AX$32,3,FALSE)</f>
        <v>0</v>
      </c>
      <c r="D52" s="102">
        <f>VLOOKUP(18,$A$4:$AX$32,4,FALSE)</f>
        <v>0</v>
      </c>
      <c r="E52" s="102">
        <f>VLOOKUP(18,$A$4:$AX$32,5,FALSE)</f>
        <v>0</v>
      </c>
      <c r="F52" s="102">
        <f>VLOOKUP(18,$A$4:$AX$32,6,FALSE)</f>
        <v>0</v>
      </c>
      <c r="G52" s="102">
        <f>VLOOKUP(18,$A$4:$AX$32,7,FALSE)</f>
        <v>0</v>
      </c>
      <c r="H52" s="102">
        <f>VLOOKUP(18,$A$4:$AX$32,8,FALSE)</f>
        <v>0</v>
      </c>
      <c r="I52" s="102">
        <f>VLOOKUP(18,$A$4:$AX$32,9,FALSE)</f>
        <v>6</v>
      </c>
      <c r="J52" s="102">
        <f>VLOOKUP(18,$A$4:$AX$32,10,FALSE)</f>
        <v>43</v>
      </c>
      <c r="K52" s="102">
        <f>VLOOKUP(18,$A$4:$AX$32,11,FALSE)</f>
        <v>120</v>
      </c>
      <c r="L52" s="102">
        <f>VLOOKUP(18,$A$4:$AX$32,12,FALSE)</f>
        <v>155</v>
      </c>
      <c r="M52" s="102">
        <f>VLOOKUP(18,$A$4:$AX$32,13,FALSE)</f>
        <v>193</v>
      </c>
      <c r="N52" s="102">
        <f>VLOOKUP(18,$A$4:$AX$32,14,FALSE)</f>
        <v>216</v>
      </c>
      <c r="O52" s="102">
        <f>VLOOKUP(18,$A$4:$AX$32,15,FALSE)</f>
        <v>258</v>
      </c>
      <c r="P52" s="102">
        <f>VLOOKUP(18,$A$4:$AX$32,16,FALSE)</f>
        <v>260</v>
      </c>
      <c r="Q52" s="102">
        <f>VLOOKUP(18,$A$4:$AX$32,17,FALSE)</f>
        <v>271</v>
      </c>
      <c r="R52" s="102">
        <f>VLOOKUP(18,$A$4:$AX$32,18,FALSE)</f>
        <v>279</v>
      </c>
      <c r="S52" s="102">
        <f>VLOOKUP(18,$A$4:$AX$32,19,FALSE)</f>
        <v>304</v>
      </c>
      <c r="T52" s="102">
        <f>VLOOKUP(18,$A$4:$AX$32,20,FALSE)</f>
        <v>331</v>
      </c>
      <c r="U52" s="102">
        <f>VLOOKUP(18,$A$4:$AX$32,21,FALSE)</f>
        <v>342</v>
      </c>
      <c r="V52" s="102">
        <f>VLOOKUP(18,$A$4:$AX$32,22,FALSE)</f>
        <v>360</v>
      </c>
      <c r="W52" s="102">
        <f>VLOOKUP(18,$A$4:$AX$32,23,FALSE)</f>
        <v>365</v>
      </c>
      <c r="X52" s="102">
        <f>VLOOKUP(18,$A$4:$AX$32,24,FALSE)</f>
        <v>363</v>
      </c>
      <c r="Y52" s="102">
        <f>VLOOKUP(18,$A$4:$AX$32,25,FALSE)</f>
        <v>375</v>
      </c>
      <c r="Z52" s="102">
        <f>VLOOKUP(18,$A$4:$AX$32,26,FALSE)</f>
        <v>363</v>
      </c>
      <c r="AA52" s="102">
        <f>VLOOKUP(18,$A$4:$AX$32,27,FALSE)</f>
        <v>368</v>
      </c>
      <c r="AB52" s="102">
        <f>VLOOKUP(18,$A$4:$AX$32,28,FALSE)</f>
        <v>365</v>
      </c>
      <c r="AC52" s="102">
        <f>VLOOKUP(18,$A$4:$AX$32,29,FALSE)</f>
        <v>327</v>
      </c>
      <c r="AD52" s="102">
        <f>VLOOKUP(18,$A$4:$AX$32,30,FALSE)</f>
        <v>374</v>
      </c>
      <c r="AE52" s="102">
        <f>VLOOKUP(18,$A$4:$AX$32,31,FALSE)</f>
        <v>398</v>
      </c>
      <c r="AF52" s="102">
        <f>VLOOKUP(18,$A$4:$AX$32,32,FALSE)</f>
        <v>371</v>
      </c>
      <c r="AG52" s="102">
        <f>VLOOKUP(18,$A$4:$AX$32,33,FALSE)</f>
        <v>398</v>
      </c>
    </row>
    <row r="53" spans="1:33" ht="12.75">
      <c r="A53">
        <v>19</v>
      </c>
      <c r="B53" s="77" t="s">
        <v>61</v>
      </c>
      <c r="C53" s="102">
        <f>VLOOKUP(19,$A$4:$AX$32,3,FALSE)</f>
        <v>0</v>
      </c>
      <c r="D53" s="102">
        <f>VLOOKUP(19,$A$4:$AX$32,4,FALSE)</f>
        <v>0</v>
      </c>
      <c r="E53" s="102">
        <f>VLOOKUP(19,$A$4:$AX$32,5,FALSE)</f>
        <v>0</v>
      </c>
      <c r="F53" s="102">
        <f>VLOOKUP(19,$A$4:$AX$32,6,FALSE)</f>
        <v>0</v>
      </c>
      <c r="G53" s="102">
        <f>VLOOKUP(19,$A$4:$AX$32,7,FALSE)</f>
        <v>0</v>
      </c>
      <c r="H53" s="102">
        <f>VLOOKUP(19,$A$4:$AX$32,8,FALSE)</f>
        <v>0</v>
      </c>
      <c r="I53" s="102">
        <f>VLOOKUP(19,$A$4:$AX$32,9,FALSE)</f>
        <v>0</v>
      </c>
      <c r="J53" s="102">
        <f>VLOOKUP(19,$A$4:$AX$32,10,FALSE)</f>
        <v>0</v>
      </c>
      <c r="K53" s="102">
        <f>VLOOKUP(19,$A$4:$AX$32,11,FALSE)</f>
        <v>0</v>
      </c>
      <c r="L53" s="102">
        <f>VLOOKUP(19,$A$4:$AX$32,12,FALSE)</f>
        <v>0</v>
      </c>
      <c r="M53" s="102">
        <f>VLOOKUP(19,$A$4:$AX$32,13,FALSE)</f>
        <v>0</v>
      </c>
      <c r="N53" s="102">
        <f>VLOOKUP(19,$A$4:$AX$32,14,FALSE)</f>
        <v>0</v>
      </c>
      <c r="O53" s="102">
        <f>VLOOKUP(19,$A$4:$AX$32,15,FALSE)</f>
        <v>0</v>
      </c>
      <c r="P53" s="102">
        <f>VLOOKUP(19,$A$4:$AX$32,16,FALSE)</f>
        <v>0</v>
      </c>
      <c r="Q53" s="102">
        <f>VLOOKUP(19,$A$4:$AX$32,17,FALSE)</f>
        <v>0</v>
      </c>
      <c r="R53" s="102">
        <f>VLOOKUP(19,$A$4:$AX$32,18,FALSE)</f>
        <v>0</v>
      </c>
      <c r="S53" s="102">
        <f>VLOOKUP(19,$A$4:$AX$32,19,FALSE)</f>
        <v>0</v>
      </c>
      <c r="T53" s="102">
        <f>VLOOKUP(19,$A$4:$AX$32,20,FALSE)</f>
        <v>0</v>
      </c>
      <c r="U53" s="102">
        <f>VLOOKUP(19,$A$4:$AX$32,21,FALSE)</f>
        <v>3</v>
      </c>
      <c r="V53" s="102">
        <f>VLOOKUP(19,$A$4:$AX$32,22,FALSE)</f>
        <v>10</v>
      </c>
      <c r="W53" s="102">
        <f>VLOOKUP(19,$A$4:$AX$32,23,FALSE)</f>
        <v>23</v>
      </c>
      <c r="X53" s="102">
        <f>VLOOKUP(19,$A$4:$AX$32,24,FALSE)</f>
        <v>33</v>
      </c>
      <c r="Y53" s="102">
        <f>VLOOKUP(19,$A$4:$AX$32,25,FALSE)</f>
        <v>46</v>
      </c>
      <c r="Z53" s="102">
        <f>VLOOKUP(19,$A$4:$AX$32,26,FALSE)</f>
        <v>52</v>
      </c>
      <c r="AA53" s="102">
        <f>VLOOKUP(19,$A$4:$AX$32,27,FALSE)</f>
        <v>69</v>
      </c>
      <c r="AB53" s="102">
        <f>VLOOKUP(19,$A$4:$AX$32,28,FALSE)</f>
        <v>60</v>
      </c>
      <c r="AC53" s="102">
        <f>VLOOKUP(19,$A$4:$AX$32,29,FALSE)</f>
        <v>76</v>
      </c>
      <c r="AD53" s="102">
        <f>VLOOKUP(19,$A$4:$AX$32,30,FALSE)</f>
        <v>95</v>
      </c>
      <c r="AE53" s="102">
        <f>VLOOKUP(19,$A$4:$AX$32,31,FALSE)</f>
        <v>101</v>
      </c>
      <c r="AF53" s="102">
        <f>VLOOKUP(19,$A$4:$AX$32,32,FALSE)</f>
        <v>105</v>
      </c>
      <c r="AG53" s="102">
        <f>VLOOKUP(19,$A$4:$AX$32,33,FALSE)</f>
        <v>120</v>
      </c>
    </row>
    <row r="54" spans="1:33" ht="12.75">
      <c r="A54">
        <v>20</v>
      </c>
      <c r="B54" s="77" t="s">
        <v>62</v>
      </c>
      <c r="C54" s="102">
        <f>VLOOKUP(20,$A$4:$AX$32,3,FALSE)</f>
        <v>0</v>
      </c>
      <c r="D54" s="102">
        <f>VLOOKUP(20,$A$4:$AX$32,4,FALSE)</f>
        <v>0</v>
      </c>
      <c r="E54" s="102">
        <f>VLOOKUP(20,$A$4:$AX$32,5,FALSE)</f>
        <v>0</v>
      </c>
      <c r="F54" s="102">
        <f>VLOOKUP(20,$A$4:$AX$32,6,FALSE)</f>
        <v>0</v>
      </c>
      <c r="G54" s="102">
        <f>VLOOKUP(20,$A$4:$AX$32,7,FALSE)</f>
        <v>0</v>
      </c>
      <c r="H54" s="102">
        <f>VLOOKUP(20,$A$4:$AX$32,8,FALSE)</f>
        <v>0</v>
      </c>
      <c r="I54" s="102">
        <f>VLOOKUP(20,$A$4:$AX$32,9,FALSE)</f>
        <v>0</v>
      </c>
      <c r="J54" s="102">
        <f>VLOOKUP(20,$A$4:$AX$32,10,FALSE)</f>
        <v>0</v>
      </c>
      <c r="K54" s="102">
        <f>VLOOKUP(20,$A$4:$AX$32,11,FALSE)</f>
        <v>0</v>
      </c>
      <c r="L54" s="102">
        <f>VLOOKUP(20,$A$4:$AX$32,12,FALSE)</f>
        <v>0</v>
      </c>
      <c r="M54" s="102">
        <f>VLOOKUP(20,$A$4:$AX$32,13,FALSE)</f>
        <v>0</v>
      </c>
      <c r="N54" s="102">
        <f>VLOOKUP(20,$A$4:$AX$32,14,FALSE)</f>
        <v>0</v>
      </c>
      <c r="O54" s="102">
        <f>VLOOKUP(20,$A$4:$AX$32,15,FALSE)</f>
        <v>0</v>
      </c>
      <c r="P54" s="102">
        <f>VLOOKUP(20,$A$4:$AX$32,16,FALSE)</f>
        <v>0</v>
      </c>
      <c r="Q54" s="102">
        <f>VLOOKUP(20,$A$4:$AX$32,17,FALSE)</f>
        <v>0</v>
      </c>
      <c r="R54" s="102">
        <f>VLOOKUP(20,$A$4:$AX$32,18,FALSE)</f>
        <v>0</v>
      </c>
      <c r="S54" s="102">
        <f>VLOOKUP(20,$A$4:$AX$32,19,FALSE)</f>
        <v>0</v>
      </c>
      <c r="T54" s="102">
        <f>VLOOKUP(20,$A$4:$AX$32,20,FALSE)</f>
        <v>0</v>
      </c>
      <c r="U54" s="102">
        <f>VLOOKUP(20,$A$4:$AX$32,21,FALSE)</f>
        <v>2</v>
      </c>
      <c r="V54" s="102">
        <f>VLOOKUP(20,$A$4:$AX$32,22,FALSE)</f>
        <v>7</v>
      </c>
      <c r="W54" s="102">
        <f>VLOOKUP(20,$A$4:$AX$32,23,FALSE)</f>
        <v>15</v>
      </c>
      <c r="X54" s="102">
        <f>VLOOKUP(20,$A$4:$AX$32,24,FALSE)</f>
        <v>20</v>
      </c>
      <c r="Y54" s="102">
        <f>VLOOKUP(20,$A$4:$AX$32,25,FALSE)</f>
        <v>34</v>
      </c>
      <c r="Z54" s="102">
        <f>VLOOKUP(20,$A$4:$AX$32,26,FALSE)</f>
        <v>38</v>
      </c>
      <c r="AA54" s="102">
        <f>VLOOKUP(20,$A$4:$AX$32,27,FALSE)</f>
        <v>44</v>
      </c>
      <c r="AB54" s="102">
        <f>VLOOKUP(20,$A$4:$AX$32,28,FALSE)</f>
        <v>49</v>
      </c>
      <c r="AC54" s="102">
        <f>VLOOKUP(20,$A$4:$AX$32,29,FALSE)</f>
        <v>51</v>
      </c>
      <c r="AD54" s="102">
        <f>VLOOKUP(20,$A$4:$AX$32,30,FALSE)</f>
        <v>71</v>
      </c>
      <c r="AE54" s="102">
        <f>VLOOKUP(20,$A$4:$AX$32,31,FALSE)</f>
        <v>61</v>
      </c>
      <c r="AF54" s="102">
        <f>VLOOKUP(20,$A$4:$AX$32,32,FALSE)</f>
        <v>59</v>
      </c>
      <c r="AG54" s="102">
        <f>VLOOKUP(20,$A$4:$AX$32,33,FALSE)</f>
        <v>71</v>
      </c>
    </row>
    <row r="55" spans="1:33" ht="12.75">
      <c r="A55">
        <v>21</v>
      </c>
      <c r="B55" s="77" t="s">
        <v>63</v>
      </c>
      <c r="C55" s="102">
        <f>VLOOKUP(21,$A$4:$AX$32,3,FALSE)</f>
        <v>22</v>
      </c>
      <c r="D55" s="102">
        <f>VLOOKUP(21,$A$4:$AX$32,4,FALSE)</f>
        <v>26</v>
      </c>
      <c r="E55" s="102">
        <f>VLOOKUP(21,$A$4:$AX$32,5,FALSE)</f>
        <v>23</v>
      </c>
      <c r="F55" s="102">
        <f>VLOOKUP(21,$A$4:$AX$32,6,FALSE)</f>
        <v>16</v>
      </c>
      <c r="G55" s="102">
        <f>VLOOKUP(21,$A$4:$AX$32,7,FALSE)</f>
        <v>17</v>
      </c>
      <c r="H55" s="102">
        <f>VLOOKUP(21,$A$4:$AX$32,8,FALSE)</f>
        <v>19</v>
      </c>
      <c r="I55" s="102">
        <f>VLOOKUP(21,$A$4:$AX$32,9,FALSE)</f>
        <v>15</v>
      </c>
      <c r="J55" s="102">
        <f>VLOOKUP(21,$A$4:$AX$32,10,FALSE)</f>
        <v>15</v>
      </c>
      <c r="K55" s="102">
        <f>VLOOKUP(21,$A$4:$AX$32,11,FALSE)</f>
        <v>16</v>
      </c>
      <c r="L55" s="102">
        <f>VLOOKUP(21,$A$4:$AX$32,12,FALSE)</f>
        <v>16</v>
      </c>
      <c r="M55" s="102">
        <f>VLOOKUP(21,$A$4:$AX$32,13,FALSE)</f>
        <v>19</v>
      </c>
      <c r="N55" s="102">
        <f>VLOOKUP(21,$A$4:$AX$32,14,FALSE)</f>
        <v>20</v>
      </c>
      <c r="O55" s="102">
        <f>VLOOKUP(21,$A$4:$AX$32,15,FALSE)</f>
        <v>23</v>
      </c>
      <c r="P55" s="102">
        <f>VLOOKUP(21,$A$4:$AX$32,16,FALSE)</f>
        <v>23</v>
      </c>
      <c r="Q55" s="102">
        <f>VLOOKUP(21,$A$4:$AX$32,17,FALSE)</f>
        <v>22</v>
      </c>
      <c r="R55" s="102">
        <f>VLOOKUP(21,$A$4:$AX$32,18,FALSE)</f>
        <v>22</v>
      </c>
      <c r="S55" s="102">
        <f>VLOOKUP(21,$A$4:$AX$32,19,FALSE)</f>
        <v>23</v>
      </c>
      <c r="T55" s="102">
        <f>VLOOKUP(21,$A$4:$AX$32,20,FALSE)</f>
        <v>24</v>
      </c>
      <c r="U55" s="102">
        <f>VLOOKUP(21,$A$4:$AX$32,21,FALSE)</f>
        <v>18</v>
      </c>
      <c r="V55" s="102">
        <f>VLOOKUP(21,$A$4:$AX$32,22,FALSE)</f>
        <v>16</v>
      </c>
      <c r="W55" s="102">
        <f>VLOOKUP(21,$A$4:$AX$32,23,FALSE)</f>
        <v>16</v>
      </c>
      <c r="X55" s="102">
        <f>VLOOKUP(21,$A$4:$AX$32,24,FALSE)</f>
        <v>17</v>
      </c>
      <c r="Y55" s="102">
        <f>VLOOKUP(21,$A$4:$AX$32,25,FALSE)</f>
        <v>20</v>
      </c>
      <c r="Z55" s="102">
        <f>VLOOKUP(21,$A$4:$AX$32,26,FALSE)</f>
        <v>20</v>
      </c>
      <c r="AA55" s="102">
        <f>VLOOKUP(21,$A$4:$AX$32,27,FALSE)</f>
        <v>21</v>
      </c>
      <c r="AB55" s="102">
        <f>VLOOKUP(21,$A$4:$AX$32,28,FALSE)</f>
        <v>14</v>
      </c>
      <c r="AC55" s="102">
        <f>VLOOKUP(21,$A$4:$AX$32,29,FALSE)</f>
        <v>12</v>
      </c>
      <c r="AD55" s="102">
        <f>VLOOKUP(21,$A$4:$AX$32,30,FALSE)</f>
        <v>14</v>
      </c>
      <c r="AE55" s="102">
        <f>VLOOKUP(21,$A$4:$AX$32,31,FALSE)</f>
        <v>17</v>
      </c>
      <c r="AF55" s="102">
        <f>VLOOKUP(21,$A$4:$AX$32,32,FALSE)</f>
        <v>11</v>
      </c>
      <c r="AG55" s="102">
        <f>VLOOKUP(21,$A$4:$AX$32,33,FALSE)</f>
        <v>14</v>
      </c>
    </row>
    <row r="56" spans="1:33" ht="25.5">
      <c r="A56">
        <v>22</v>
      </c>
      <c r="B56" s="77" t="s">
        <v>64</v>
      </c>
      <c r="C56" s="102">
        <f>VLOOKUP(22,$A$4:$AX$32,3,FALSE)</f>
        <v>91</v>
      </c>
      <c r="D56" s="102">
        <f>VLOOKUP(22,$A$4:$AX$32,4,FALSE)</f>
        <v>93</v>
      </c>
      <c r="E56" s="102">
        <f>VLOOKUP(22,$A$4:$AX$32,5,FALSE)</f>
        <v>92</v>
      </c>
      <c r="F56" s="102">
        <f>VLOOKUP(22,$A$4:$AX$32,6,FALSE)</f>
        <v>91</v>
      </c>
      <c r="G56" s="102">
        <f>VLOOKUP(22,$A$4:$AX$32,7,FALSE)</f>
        <v>96</v>
      </c>
      <c r="H56" s="102">
        <f>VLOOKUP(22,$A$4:$AX$32,8,FALSE)</f>
        <v>111</v>
      </c>
      <c r="I56" s="102">
        <f>VLOOKUP(22,$A$4:$AX$32,9,FALSE)</f>
        <v>99</v>
      </c>
      <c r="J56" s="102">
        <f>VLOOKUP(22,$A$4:$AX$32,10,FALSE)</f>
        <v>80</v>
      </c>
      <c r="K56" s="102">
        <f>VLOOKUP(22,$A$4:$AX$32,11,FALSE)</f>
        <v>112</v>
      </c>
      <c r="L56" s="102">
        <f>VLOOKUP(22,$A$4:$AX$32,12,FALSE)</f>
        <v>106</v>
      </c>
      <c r="M56" s="102">
        <f>VLOOKUP(22,$A$4:$AX$32,13,FALSE)</f>
        <v>105</v>
      </c>
      <c r="N56" s="102">
        <f>VLOOKUP(22,$A$4:$AX$32,14,FALSE)</f>
        <v>111</v>
      </c>
      <c r="O56" s="102">
        <f>VLOOKUP(22,$A$4:$AX$32,15,FALSE)</f>
        <v>120</v>
      </c>
      <c r="P56" s="102">
        <f>VLOOKUP(22,$A$4:$AX$32,16,FALSE)</f>
        <v>103</v>
      </c>
      <c r="Q56" s="102">
        <f>VLOOKUP(22,$A$4:$AX$32,17,FALSE)</f>
        <v>101</v>
      </c>
      <c r="R56" s="102">
        <f>VLOOKUP(22,$A$4:$AX$32,18,FALSE)</f>
        <v>108</v>
      </c>
      <c r="S56" s="102">
        <f>VLOOKUP(22,$A$4:$AX$32,19,FALSE)</f>
        <v>108</v>
      </c>
      <c r="T56" s="102">
        <f>VLOOKUP(22,$A$4:$AX$32,20,FALSE)</f>
        <v>89</v>
      </c>
      <c r="U56" s="102">
        <f>VLOOKUP(22,$A$4:$AX$32,21,FALSE)</f>
        <v>108</v>
      </c>
      <c r="V56" s="102">
        <f>VLOOKUP(22,$A$4:$AX$32,22,FALSE)</f>
        <v>88</v>
      </c>
      <c r="W56" s="102">
        <f>VLOOKUP(22,$A$4:$AX$32,23,FALSE)</f>
        <v>108</v>
      </c>
      <c r="X56" s="102">
        <f>VLOOKUP(22,$A$4:$AX$32,24,FALSE)</f>
        <v>85</v>
      </c>
      <c r="Y56" s="102">
        <f>VLOOKUP(22,$A$4:$AX$32,25,FALSE)</f>
        <v>93</v>
      </c>
      <c r="Z56" s="102">
        <f>VLOOKUP(22,$A$4:$AX$32,26,FALSE)</f>
        <v>88</v>
      </c>
      <c r="AA56" s="102">
        <f>VLOOKUP(22,$A$4:$AX$32,27,FALSE)</f>
        <v>93</v>
      </c>
      <c r="AB56" s="102">
        <f>VLOOKUP(22,$A$4:$AX$32,28,FALSE)</f>
        <v>89</v>
      </c>
      <c r="AC56" s="102">
        <f>VLOOKUP(22,$A$4:$AX$32,29,FALSE)</f>
        <v>95</v>
      </c>
      <c r="AD56" s="102">
        <f>VLOOKUP(22,$A$4:$AX$32,30,FALSE)</f>
        <v>87</v>
      </c>
      <c r="AE56" s="102">
        <f>VLOOKUP(22,$A$4:$AX$32,31,FALSE)</f>
        <v>81</v>
      </c>
      <c r="AF56" s="102">
        <f>VLOOKUP(22,$A$4:$AX$32,32,FALSE)</f>
        <v>72</v>
      </c>
      <c r="AG56" s="102">
        <f>VLOOKUP(22,$A$4:$AX$32,33,FALSE)</f>
        <v>98</v>
      </c>
    </row>
    <row r="57" spans="1:33" ht="25.5">
      <c r="A57">
        <v>23</v>
      </c>
      <c r="B57" s="77" t="s">
        <v>65</v>
      </c>
      <c r="C57" s="102">
        <f>VLOOKUP(23,$A$4:$AX$32,3,FALSE)</f>
        <v>30</v>
      </c>
      <c r="D57" s="102">
        <f>VLOOKUP(23,$A$4:$AX$32,4,FALSE)</f>
        <v>27</v>
      </c>
      <c r="E57" s="102">
        <f>VLOOKUP(23,$A$4:$AX$32,5,FALSE)</f>
        <v>33</v>
      </c>
      <c r="F57" s="102">
        <f>VLOOKUP(23,$A$4:$AX$32,6,FALSE)</f>
        <v>27</v>
      </c>
      <c r="G57" s="102">
        <f>VLOOKUP(23,$A$4:$AX$32,7,FALSE)</f>
        <v>34</v>
      </c>
      <c r="H57" s="102">
        <f>VLOOKUP(23,$A$4:$AX$32,8,FALSE)</f>
        <v>35</v>
      </c>
      <c r="I57" s="102">
        <f>VLOOKUP(23,$A$4:$AX$32,9,FALSE)</f>
        <v>31</v>
      </c>
      <c r="J57" s="102">
        <f>VLOOKUP(23,$A$4:$AX$32,10,FALSE)</f>
        <v>34</v>
      </c>
      <c r="K57" s="102">
        <f>VLOOKUP(23,$A$4:$AX$32,11,FALSE)</f>
        <v>37</v>
      </c>
      <c r="L57" s="102">
        <f>VLOOKUP(23,$A$4:$AX$32,12,FALSE)</f>
        <v>36</v>
      </c>
      <c r="M57" s="102">
        <f>VLOOKUP(23,$A$4:$AX$32,13,FALSE)</f>
        <v>39</v>
      </c>
      <c r="N57" s="102">
        <f>VLOOKUP(23,$A$4:$AX$32,14,FALSE)</f>
        <v>38</v>
      </c>
      <c r="O57" s="102">
        <f>VLOOKUP(23,$A$4:$AX$32,15,FALSE)</f>
        <v>32</v>
      </c>
      <c r="P57" s="102">
        <f>VLOOKUP(23,$A$4:$AX$32,16,FALSE)</f>
        <v>34</v>
      </c>
      <c r="Q57" s="102">
        <f>VLOOKUP(23,$A$4:$AX$32,17,FALSE)</f>
        <v>33</v>
      </c>
      <c r="R57" s="102">
        <f>VLOOKUP(23,$A$4:$AX$32,18,FALSE)</f>
        <v>33</v>
      </c>
      <c r="S57" s="102">
        <f>VLOOKUP(23,$A$4:$AX$32,19,FALSE)</f>
        <v>39</v>
      </c>
      <c r="T57" s="102">
        <f>VLOOKUP(23,$A$4:$AX$32,20,FALSE)</f>
        <v>30</v>
      </c>
      <c r="U57" s="102">
        <f>VLOOKUP(23,$A$4:$AX$32,21,FALSE)</f>
        <v>35</v>
      </c>
      <c r="V57" s="102">
        <f>VLOOKUP(23,$A$4:$AX$32,22,FALSE)</f>
        <v>36</v>
      </c>
      <c r="W57" s="102">
        <f>VLOOKUP(23,$A$4:$AX$32,23,FALSE)</f>
        <v>33</v>
      </c>
      <c r="X57" s="102">
        <f>VLOOKUP(23,$A$4:$AX$32,24,FALSE)</f>
        <v>30</v>
      </c>
      <c r="Y57" s="102">
        <f>VLOOKUP(23,$A$4:$AX$32,25,FALSE)</f>
        <v>32</v>
      </c>
      <c r="Z57" s="102">
        <f>VLOOKUP(23,$A$4:$AX$32,26,FALSE)</f>
        <v>32</v>
      </c>
      <c r="AA57" s="102">
        <f>VLOOKUP(23,$A$4:$AX$32,27,FALSE)</f>
        <v>30</v>
      </c>
      <c r="AB57" s="102">
        <f>VLOOKUP(23,$A$4:$AX$32,28,FALSE)</f>
        <v>35</v>
      </c>
      <c r="AC57" s="102">
        <f>VLOOKUP(23,$A$4:$AX$32,29,FALSE)</f>
        <v>29</v>
      </c>
      <c r="AD57" s="102">
        <f>VLOOKUP(23,$A$4:$AX$32,30,FALSE)</f>
        <v>33</v>
      </c>
      <c r="AE57" s="102">
        <f>VLOOKUP(23,$A$4:$AX$32,31,FALSE)</f>
        <v>30</v>
      </c>
      <c r="AF57" s="102">
        <f>VLOOKUP(23,$A$4:$AX$32,32,FALSE)</f>
        <v>29</v>
      </c>
      <c r="AG57" s="102">
        <f>VLOOKUP(23,$A$4:$AX$32,33,FALSE)</f>
        <v>32</v>
      </c>
    </row>
    <row r="58" spans="1:33" ht="25.5">
      <c r="A58">
        <v>24</v>
      </c>
      <c r="B58" s="77" t="s">
        <v>66</v>
      </c>
      <c r="C58" s="102">
        <f>VLOOKUP(24,$A$4:$AX$32,3,FALSE)</f>
        <v>16</v>
      </c>
      <c r="D58" s="102">
        <f>VLOOKUP(24,$A$4:$AX$32,4,FALSE)</f>
        <v>14</v>
      </c>
      <c r="E58" s="102">
        <f>VLOOKUP(24,$A$4:$AX$32,5,FALSE)</f>
        <v>15</v>
      </c>
      <c r="F58" s="102">
        <f>VLOOKUP(24,$A$4:$AX$32,6,FALSE)</f>
        <v>10</v>
      </c>
      <c r="G58" s="102">
        <f>VLOOKUP(24,$A$4:$AX$32,7,FALSE)</f>
        <v>12</v>
      </c>
      <c r="H58" s="102">
        <f>VLOOKUP(24,$A$4:$AX$32,8,FALSE)</f>
        <v>12</v>
      </c>
      <c r="I58" s="102">
        <f>VLOOKUP(24,$A$4:$AX$32,9,FALSE)</f>
        <v>9</v>
      </c>
      <c r="J58" s="102">
        <f>VLOOKUP(24,$A$4:$AX$32,10,FALSE)</f>
        <v>9</v>
      </c>
      <c r="K58" s="102">
        <f>VLOOKUP(24,$A$4:$AX$32,11,FALSE)</f>
        <v>17</v>
      </c>
      <c r="L58" s="102">
        <f>VLOOKUP(24,$A$4:$AX$32,12,FALSE)</f>
        <v>14</v>
      </c>
      <c r="M58" s="102">
        <f>VLOOKUP(24,$A$4:$AX$32,13,FALSE)</f>
        <v>14</v>
      </c>
      <c r="N58" s="102">
        <f>VLOOKUP(24,$A$4:$AX$32,14,FALSE)</f>
        <v>12</v>
      </c>
      <c r="O58" s="102">
        <f>VLOOKUP(24,$A$4:$AX$32,15,FALSE)</f>
        <v>16</v>
      </c>
      <c r="P58" s="102">
        <f>VLOOKUP(24,$A$4:$AX$32,16,FALSE)</f>
        <v>12</v>
      </c>
      <c r="Q58" s="102">
        <f>VLOOKUP(24,$A$4:$AX$32,17,FALSE)</f>
        <v>15</v>
      </c>
      <c r="R58" s="102">
        <f>VLOOKUP(24,$A$4:$AX$32,18,FALSE)</f>
        <v>12</v>
      </c>
      <c r="S58" s="102">
        <f>VLOOKUP(24,$A$4:$AX$32,19,FALSE)</f>
        <v>14</v>
      </c>
      <c r="T58" s="102">
        <f>VLOOKUP(24,$A$4:$AX$32,20,FALSE)</f>
        <v>11</v>
      </c>
      <c r="U58" s="102">
        <f>VLOOKUP(24,$A$4:$AX$32,21,FALSE)</f>
        <v>12</v>
      </c>
      <c r="V58" s="102">
        <f>VLOOKUP(24,$A$4:$AX$32,22,FALSE)</f>
        <v>10</v>
      </c>
      <c r="W58" s="102">
        <f>VLOOKUP(24,$A$4:$AX$32,23,FALSE)</f>
        <v>15</v>
      </c>
      <c r="X58" s="102">
        <f>VLOOKUP(24,$A$4:$AX$32,24,FALSE)</f>
        <v>9</v>
      </c>
      <c r="Y58" s="102">
        <f>VLOOKUP(24,$A$4:$AX$32,25,FALSE)</f>
        <v>11</v>
      </c>
      <c r="Z58" s="102">
        <f>VLOOKUP(24,$A$4:$AX$32,26,FALSE)</f>
        <v>11</v>
      </c>
      <c r="AA58" s="102">
        <f>VLOOKUP(24,$A$4:$AX$32,27,FALSE)</f>
        <v>10</v>
      </c>
      <c r="AB58" s="102">
        <f>VLOOKUP(24,$A$4:$AX$32,28,FALSE)</f>
        <v>8</v>
      </c>
      <c r="AC58" s="102">
        <f>VLOOKUP(24,$A$4:$AX$32,29,FALSE)</f>
        <v>7</v>
      </c>
      <c r="AD58" s="102">
        <f>VLOOKUP(24,$A$4:$AX$32,30,FALSE)</f>
        <v>8</v>
      </c>
      <c r="AE58" s="102">
        <f>VLOOKUP(24,$A$4:$AX$32,31,FALSE)</f>
        <v>8</v>
      </c>
      <c r="AF58" s="102">
        <f>VLOOKUP(24,$A$4:$AX$32,32,FALSE)</f>
        <v>6</v>
      </c>
      <c r="AG58" s="102">
        <f>VLOOKUP(24,$A$4:$AX$32,33,FALSE)</f>
        <v>10</v>
      </c>
    </row>
    <row r="59" spans="1:33" ht="25.5">
      <c r="A59">
        <v>25</v>
      </c>
      <c r="B59" s="77" t="s">
        <v>67</v>
      </c>
      <c r="C59" s="102">
        <f>VLOOKUP(25,$A$4:$AX$32,3,FALSE)</f>
        <v>0</v>
      </c>
      <c r="D59" s="102">
        <f>VLOOKUP(25,$A$4:$AX$32,4,FALSE)</f>
        <v>0</v>
      </c>
      <c r="E59" s="102">
        <f>VLOOKUP(25,$A$4:$AX$32,5,FALSE)</f>
        <v>0</v>
      </c>
      <c r="F59" s="102">
        <f>VLOOKUP(25,$A$4:$AX$32,6,FALSE)</f>
        <v>0</v>
      </c>
      <c r="G59" s="102">
        <f>VLOOKUP(25,$A$4:$AX$32,7,FALSE)</f>
        <v>0</v>
      </c>
      <c r="H59" s="102">
        <f>VLOOKUP(25,$A$4:$AX$32,8,FALSE)</f>
        <v>0</v>
      </c>
      <c r="I59" s="102">
        <f>VLOOKUP(25,$A$4:$AX$32,9,FALSE)</f>
        <v>0</v>
      </c>
      <c r="J59" s="102">
        <f>VLOOKUP(25,$A$4:$AX$32,10,FALSE)</f>
        <v>0</v>
      </c>
      <c r="K59" s="102">
        <f>VLOOKUP(25,$A$4:$AX$32,11,FALSE)</f>
        <v>0</v>
      </c>
      <c r="L59" s="102">
        <f>VLOOKUP(25,$A$4:$AX$32,12,FALSE)</f>
        <v>0</v>
      </c>
      <c r="M59" s="102">
        <f>VLOOKUP(25,$A$4:$AX$32,13,FALSE)</f>
        <v>0</v>
      </c>
      <c r="N59" s="102">
        <f>VLOOKUP(25,$A$4:$AX$32,14,FALSE)</f>
        <v>0</v>
      </c>
      <c r="O59" s="102">
        <f>VLOOKUP(25,$A$4:$AX$32,15,FALSE)</f>
        <v>0</v>
      </c>
      <c r="P59" s="102">
        <f>VLOOKUP(25,$A$4:$AX$32,16,FALSE)</f>
        <v>0</v>
      </c>
      <c r="Q59" s="102">
        <f>VLOOKUP(25,$A$4:$AX$32,17,FALSE)</f>
        <v>0</v>
      </c>
      <c r="R59" s="102">
        <f>VLOOKUP(25,$A$4:$AX$32,18,FALSE)</f>
        <v>0</v>
      </c>
      <c r="S59" s="102">
        <f>VLOOKUP(25,$A$4:$AX$32,19,FALSE)</f>
        <v>0</v>
      </c>
      <c r="T59" s="102">
        <f>VLOOKUP(25,$A$4:$AX$32,20,FALSE)</f>
        <v>0</v>
      </c>
      <c r="U59" s="102">
        <f>VLOOKUP(25,$A$4:$AX$32,21,FALSE)</f>
        <v>0</v>
      </c>
      <c r="V59" s="102">
        <f>VLOOKUP(25,$A$4:$AX$32,22,FALSE)</f>
        <v>0</v>
      </c>
      <c r="W59" s="102">
        <f>VLOOKUP(25,$A$4:$AX$32,23,FALSE)</f>
        <v>18</v>
      </c>
      <c r="X59" s="102">
        <f>VLOOKUP(25,$A$4:$AX$32,24,FALSE)</f>
        <v>81</v>
      </c>
      <c r="Y59" s="102">
        <f>VLOOKUP(25,$A$4:$AX$32,25,FALSE)</f>
        <v>132</v>
      </c>
      <c r="Z59" s="102">
        <f>VLOOKUP(25,$A$4:$AX$32,26,FALSE)</f>
        <v>188</v>
      </c>
      <c r="AA59" s="102">
        <f>VLOOKUP(25,$A$4:$AX$32,27,FALSE)</f>
        <v>247</v>
      </c>
      <c r="AB59" s="102">
        <f>VLOOKUP(25,$A$4:$AX$32,28,FALSE)</f>
        <v>278</v>
      </c>
      <c r="AC59" s="102">
        <f>VLOOKUP(25,$A$4:$AX$32,29,FALSE)</f>
        <v>251</v>
      </c>
      <c r="AD59" s="102">
        <f>VLOOKUP(25,$A$4:$AX$32,30,FALSE)</f>
        <v>301</v>
      </c>
      <c r="AE59" s="102">
        <f>VLOOKUP(25,$A$4:$AX$32,31,FALSE)</f>
        <v>330</v>
      </c>
      <c r="AF59" s="102">
        <f>VLOOKUP(25,$A$4:$AX$32,32,FALSE)</f>
        <v>297</v>
      </c>
      <c r="AG59" s="102">
        <f>VLOOKUP(25,$A$4:$AX$32,33,FALSE)</f>
        <v>367</v>
      </c>
    </row>
    <row r="60" spans="1:33" ht="25.5">
      <c r="A60">
        <v>26</v>
      </c>
      <c r="B60" s="77" t="s">
        <v>68</v>
      </c>
      <c r="C60" s="102">
        <f>VLOOKUP(26,$A$4:$AX$32,3,FALSE)</f>
        <v>894</v>
      </c>
      <c r="D60" s="102">
        <f>VLOOKUP(26,$A$4:$AX$32,4,FALSE)</f>
        <v>831</v>
      </c>
      <c r="E60" s="102">
        <f>VLOOKUP(26,$A$4:$AX$32,5,FALSE)</f>
        <v>910</v>
      </c>
      <c r="F60" s="102">
        <f>VLOOKUP(26,$A$4:$AX$32,6,FALSE)</f>
        <v>932</v>
      </c>
      <c r="G60" s="102">
        <f>VLOOKUP(26,$A$4:$AX$32,7,FALSE)</f>
        <v>959</v>
      </c>
      <c r="H60" s="102">
        <f>VLOOKUP(26,$A$4:$AX$32,8,FALSE)</f>
        <v>946</v>
      </c>
      <c r="I60" s="102">
        <f>VLOOKUP(26,$A$4:$AX$32,9,FALSE)</f>
        <v>952</v>
      </c>
      <c r="J60" s="102">
        <f>VLOOKUP(26,$A$4:$AX$32,10,FALSE)</f>
        <v>844</v>
      </c>
      <c r="K60" s="102">
        <f>VLOOKUP(26,$A$4:$AX$32,11,FALSE)</f>
        <v>1005</v>
      </c>
      <c r="L60" s="102">
        <f>VLOOKUP(26,$A$4:$AX$32,12,FALSE)</f>
        <v>960</v>
      </c>
      <c r="M60" s="102">
        <f>VLOOKUP(26,$A$4:$AX$32,13,FALSE)</f>
        <v>970</v>
      </c>
      <c r="N60" s="102">
        <f>VLOOKUP(26,$A$4:$AX$32,14,FALSE)</f>
        <v>981</v>
      </c>
      <c r="O60" s="102">
        <f>VLOOKUP(26,$A$4:$AX$32,15,FALSE)</f>
        <v>939</v>
      </c>
      <c r="P60" s="102">
        <f>VLOOKUP(26,$A$4:$AX$32,16,FALSE)</f>
        <v>907</v>
      </c>
      <c r="Q60" s="102">
        <f>VLOOKUP(26,$A$4:$AX$32,17,FALSE)</f>
        <v>907</v>
      </c>
      <c r="R60" s="102">
        <f>VLOOKUP(26,$A$4:$AX$32,18,FALSE)</f>
        <v>937</v>
      </c>
      <c r="S60" s="102">
        <f>VLOOKUP(26,$A$4:$AX$32,19,FALSE)</f>
        <v>964</v>
      </c>
      <c r="T60" s="102">
        <f>VLOOKUP(26,$A$4:$AX$32,20,FALSE)</f>
        <v>956</v>
      </c>
      <c r="U60" s="102">
        <f>VLOOKUP(26,$A$4:$AX$32,21,FALSE)</f>
        <v>947</v>
      </c>
      <c r="V60" s="102">
        <f>VLOOKUP(26,$A$4:$AX$32,22,FALSE)</f>
        <v>913</v>
      </c>
      <c r="W60" s="102">
        <f>VLOOKUP(26,$A$4:$AX$32,23,FALSE)</f>
        <v>964</v>
      </c>
      <c r="X60" s="102">
        <f>VLOOKUP(26,$A$4:$AX$32,24,FALSE)</f>
        <v>864</v>
      </c>
      <c r="Y60" s="102">
        <f>VLOOKUP(26,$A$4:$AX$32,25,FALSE)</f>
        <v>893</v>
      </c>
      <c r="Z60" s="102">
        <f>VLOOKUP(26,$A$4:$AX$32,26,FALSE)</f>
        <v>876</v>
      </c>
      <c r="AA60" s="102">
        <f>VLOOKUP(26,$A$4:$AX$32,27,FALSE)</f>
        <v>741</v>
      </c>
      <c r="AB60" s="102">
        <f>VLOOKUP(26,$A$4:$AX$32,28,FALSE)</f>
        <v>729</v>
      </c>
      <c r="AC60" s="102">
        <f>VLOOKUP(26,$A$4:$AX$32,29,FALSE)</f>
        <v>701</v>
      </c>
      <c r="AD60" s="102">
        <f>VLOOKUP(26,$A$4:$AX$32,30,FALSE)</f>
        <v>708</v>
      </c>
      <c r="AE60" s="102">
        <f>VLOOKUP(26,$A$4:$AX$32,31,FALSE)</f>
        <v>659</v>
      </c>
      <c r="AF60" s="102">
        <f>VLOOKUP(26,$A$4:$AX$32,32,FALSE)</f>
        <v>623</v>
      </c>
      <c r="AG60" s="102">
        <f>VLOOKUP(26,$A$4:$AX$32,33,FALSE)</f>
        <v>647</v>
      </c>
    </row>
    <row r="61" spans="1:33" ht="25.5">
      <c r="A61">
        <v>27</v>
      </c>
      <c r="B61" s="77" t="s">
        <v>69</v>
      </c>
      <c r="C61" s="102">
        <f>VLOOKUP(27,$A$4:$AX$32,3,FALSE)</f>
        <v>643</v>
      </c>
      <c r="D61" s="102">
        <f>VLOOKUP(27,$A$4:$AX$32,4,FALSE)</f>
        <v>593</v>
      </c>
      <c r="E61" s="102">
        <f>VLOOKUP(27,$A$4:$AX$32,5,FALSE)</f>
        <v>617</v>
      </c>
      <c r="F61" s="102">
        <f>VLOOKUP(27,$A$4:$AX$32,6,FALSE)</f>
        <v>607</v>
      </c>
      <c r="G61" s="102">
        <f>VLOOKUP(27,$A$4:$AX$32,7,FALSE)</f>
        <v>638</v>
      </c>
      <c r="H61" s="102">
        <f>VLOOKUP(27,$A$4:$AX$32,8,FALSE)</f>
        <v>624</v>
      </c>
      <c r="I61" s="102">
        <f>VLOOKUP(27,$A$4:$AX$32,9,FALSE)</f>
        <v>614</v>
      </c>
      <c r="J61" s="102">
        <f>VLOOKUP(27,$A$4:$AX$32,10,FALSE)</f>
        <v>587</v>
      </c>
      <c r="K61" s="102">
        <f>VLOOKUP(27,$A$4:$AX$32,11,FALSE)</f>
        <v>709</v>
      </c>
      <c r="L61" s="102">
        <f>VLOOKUP(27,$A$4:$AX$32,12,FALSE)</f>
        <v>629</v>
      </c>
      <c r="M61" s="102">
        <f>VLOOKUP(27,$A$4:$AX$32,13,FALSE)</f>
        <v>668</v>
      </c>
      <c r="N61" s="102">
        <f>VLOOKUP(27,$A$4:$AX$32,14,FALSE)</f>
        <v>624</v>
      </c>
      <c r="O61" s="102">
        <f>VLOOKUP(27,$A$4:$AX$32,15,FALSE)</f>
        <v>617</v>
      </c>
      <c r="P61" s="102">
        <f>VLOOKUP(27,$A$4:$AX$32,16,FALSE)</f>
        <v>596</v>
      </c>
      <c r="Q61" s="102">
        <f>VLOOKUP(27,$A$4:$AX$32,17,FALSE)</f>
        <v>640</v>
      </c>
      <c r="R61" s="102">
        <f>VLOOKUP(27,$A$4:$AX$32,18,FALSE)</f>
        <v>644</v>
      </c>
      <c r="S61" s="102">
        <f>VLOOKUP(27,$A$4:$AX$32,19,FALSE)</f>
        <v>611</v>
      </c>
      <c r="T61" s="102">
        <f>VLOOKUP(27,$A$4:$AX$32,20,FALSE)</f>
        <v>642</v>
      </c>
      <c r="U61" s="102">
        <f>VLOOKUP(27,$A$4:$AX$32,21,FALSE)</f>
        <v>613</v>
      </c>
      <c r="V61" s="102">
        <f>VLOOKUP(27,$A$4:$AX$32,22,FALSE)</f>
        <v>600</v>
      </c>
      <c r="W61" s="102">
        <f>VLOOKUP(27,$A$4:$AX$32,23,FALSE)</f>
        <v>649</v>
      </c>
      <c r="X61" s="102">
        <f>VLOOKUP(27,$A$4:$AX$32,24,FALSE)</f>
        <v>584</v>
      </c>
      <c r="Y61" s="102">
        <f>VLOOKUP(27,$A$4:$AX$32,25,FALSE)</f>
        <v>636</v>
      </c>
      <c r="Z61" s="102">
        <f>VLOOKUP(27,$A$4:$AX$32,26,FALSE)</f>
        <v>616</v>
      </c>
      <c r="AA61" s="102">
        <f>VLOOKUP(27,$A$4:$AX$32,27,FALSE)</f>
        <v>543</v>
      </c>
      <c r="AB61" s="102">
        <f>VLOOKUP(27,$A$4:$AX$32,28,FALSE)</f>
        <v>558</v>
      </c>
      <c r="AC61" s="102">
        <f>VLOOKUP(27,$A$4:$AX$32,29,FALSE)</f>
        <v>555</v>
      </c>
      <c r="AD61" s="102">
        <f>VLOOKUP(27,$A$4:$AX$32,30,FALSE)</f>
        <v>560</v>
      </c>
      <c r="AE61" s="102">
        <f>VLOOKUP(27,$A$4:$AX$32,31,FALSE)</f>
        <v>563</v>
      </c>
      <c r="AF61" s="102">
        <f>VLOOKUP(27,$A$4:$AX$32,32,FALSE)</f>
        <v>542</v>
      </c>
      <c r="AG61" s="102">
        <f>VLOOKUP(27,$A$4:$AX$32,33,FALSE)</f>
        <v>586</v>
      </c>
    </row>
    <row r="62" spans="1:33" ht="25.5">
      <c r="A62">
        <v>28</v>
      </c>
      <c r="B62" s="77" t="s">
        <v>70</v>
      </c>
      <c r="C62" s="102">
        <f>VLOOKUP(28,$A$4:$AX$32,3,FALSE)</f>
        <v>186</v>
      </c>
      <c r="D62" s="102">
        <f>VLOOKUP(28,$A$4:$AX$32,4,FALSE)</f>
        <v>167</v>
      </c>
      <c r="E62" s="102">
        <f>VLOOKUP(28,$A$4:$AX$32,5,FALSE)</f>
        <v>181</v>
      </c>
      <c r="F62" s="102">
        <f>VLOOKUP(28,$A$4:$AX$32,6,FALSE)</f>
        <v>174</v>
      </c>
      <c r="G62" s="102">
        <f>VLOOKUP(28,$A$4:$AX$32,7,FALSE)</f>
        <v>190</v>
      </c>
      <c r="H62" s="102">
        <f>VLOOKUP(28,$A$4:$AX$32,8,FALSE)</f>
        <v>188</v>
      </c>
      <c r="I62" s="102">
        <f>VLOOKUP(28,$A$4:$AX$32,9,FALSE)</f>
        <v>194</v>
      </c>
      <c r="J62" s="102">
        <f>VLOOKUP(28,$A$4:$AX$32,10,FALSE)</f>
        <v>168</v>
      </c>
      <c r="K62" s="102">
        <f>VLOOKUP(28,$A$4:$AX$32,11,FALSE)</f>
        <v>206</v>
      </c>
      <c r="L62" s="102">
        <f>VLOOKUP(28,$A$4:$AX$32,12,FALSE)</f>
        <v>177</v>
      </c>
      <c r="M62" s="102">
        <f>VLOOKUP(28,$A$4:$AX$32,13,FALSE)</f>
        <v>182</v>
      </c>
      <c r="N62" s="102">
        <f>VLOOKUP(28,$A$4:$AX$32,14,FALSE)</f>
        <v>183</v>
      </c>
      <c r="O62" s="102">
        <f>VLOOKUP(28,$A$4:$AX$32,15,FALSE)</f>
        <v>179</v>
      </c>
      <c r="P62" s="102">
        <f>VLOOKUP(28,$A$4:$AX$32,16,FALSE)</f>
        <v>188</v>
      </c>
      <c r="Q62" s="102">
        <f>VLOOKUP(28,$A$4:$AX$32,17,FALSE)</f>
        <v>181</v>
      </c>
      <c r="R62" s="102">
        <f>VLOOKUP(28,$A$4:$AX$32,18,FALSE)</f>
        <v>163</v>
      </c>
      <c r="S62" s="102">
        <f>VLOOKUP(28,$A$4:$AX$32,19,FALSE)</f>
        <v>178</v>
      </c>
      <c r="T62" s="102">
        <f>VLOOKUP(28,$A$4:$AX$32,20,FALSE)</f>
        <v>172</v>
      </c>
      <c r="U62" s="102">
        <f>VLOOKUP(28,$A$4:$AX$32,21,FALSE)</f>
        <v>171</v>
      </c>
      <c r="V62" s="102">
        <f>VLOOKUP(28,$A$4:$AX$32,22,FALSE)</f>
        <v>166</v>
      </c>
      <c r="W62" s="102">
        <f>VLOOKUP(28,$A$4:$AX$32,23,FALSE)</f>
        <v>175</v>
      </c>
      <c r="X62" s="102">
        <f>VLOOKUP(28,$A$4:$AX$32,24,FALSE)</f>
        <v>152</v>
      </c>
      <c r="Y62" s="102">
        <f>VLOOKUP(28,$A$4:$AX$32,25,FALSE)</f>
        <v>171</v>
      </c>
      <c r="Z62" s="102">
        <f>VLOOKUP(28,$A$4:$AX$32,26,FALSE)</f>
        <v>154</v>
      </c>
      <c r="AA62" s="102">
        <f>VLOOKUP(28,$A$4:$AX$32,27,FALSE)</f>
        <v>157</v>
      </c>
      <c r="AB62" s="102">
        <f>VLOOKUP(28,$A$4:$AX$32,28,FALSE)</f>
        <v>142</v>
      </c>
      <c r="AC62" s="102">
        <f>VLOOKUP(28,$A$4:$AX$32,29,FALSE)</f>
        <v>145</v>
      </c>
      <c r="AD62" s="102">
        <f>VLOOKUP(28,$A$4:$AX$32,30,FALSE)</f>
        <v>161</v>
      </c>
      <c r="AE62" s="102">
        <f>VLOOKUP(28,$A$4:$AX$32,31,FALSE)</f>
        <v>140</v>
      </c>
      <c r="AF62" s="102">
        <f>VLOOKUP(28,$A$4:$AX$32,32,FALSE)</f>
        <v>141</v>
      </c>
      <c r="AG62" s="102">
        <f>VLOOKUP(28,$A$4:$AX$32,33,FALSE)</f>
        <v>140</v>
      </c>
    </row>
    <row r="63" spans="1:33" ht="12.75">
      <c r="A63">
        <v>29</v>
      </c>
      <c r="B63" s="77" t="s">
        <v>71</v>
      </c>
      <c r="C63" s="102">
        <f>VLOOKUP(29,$A$4:$AX$32,3,FALSE)</f>
        <v>0</v>
      </c>
      <c r="D63" s="102">
        <f>VLOOKUP(29,$A$4:$AX$32,4,FALSE)</f>
        <v>0</v>
      </c>
      <c r="E63" s="102">
        <f>VLOOKUP(29,$A$4:$AX$32,5,FALSE)</f>
        <v>0</v>
      </c>
      <c r="F63" s="102">
        <f>VLOOKUP(29,$A$4:$AX$32,6,FALSE)</f>
        <v>0</v>
      </c>
      <c r="G63" s="102">
        <f>VLOOKUP(29,$A$4:$AX$32,7,FALSE)</f>
        <v>0</v>
      </c>
      <c r="H63" s="102">
        <f>VLOOKUP(29,$A$4:$AX$32,8,FALSE)</f>
        <v>0</v>
      </c>
      <c r="I63" s="102">
        <f>VLOOKUP(29,$A$4:$AX$32,9,FALSE)</f>
        <v>0</v>
      </c>
      <c r="J63" s="102">
        <f>VLOOKUP(29,$A$4:$AX$32,10,FALSE)</f>
        <v>0</v>
      </c>
      <c r="K63" s="102">
        <f>VLOOKUP(29,$A$4:$AX$32,11,FALSE)</f>
        <v>0</v>
      </c>
      <c r="L63" s="102">
        <f>VLOOKUP(29,$A$4:$AX$32,12,FALSE)</f>
        <v>0</v>
      </c>
      <c r="M63" s="102">
        <f>VLOOKUP(29,$A$4:$AX$32,13,FALSE)</f>
        <v>0</v>
      </c>
      <c r="N63" s="102">
        <f>VLOOKUP(29,$A$4:$AX$32,14,FALSE)</f>
        <v>0</v>
      </c>
      <c r="O63" s="102">
        <f>VLOOKUP(29,$A$4:$AX$32,15,FALSE)</f>
        <v>0</v>
      </c>
      <c r="P63" s="102">
        <f>VLOOKUP(29,$A$4:$AX$32,16,FALSE)</f>
        <v>0</v>
      </c>
      <c r="Q63" s="102">
        <f>VLOOKUP(29,$A$4:$AX$32,17,FALSE)</f>
        <v>0</v>
      </c>
      <c r="R63" s="102">
        <f>VLOOKUP(29,$A$4:$AX$32,18,FALSE)</f>
        <v>0</v>
      </c>
      <c r="S63" s="102">
        <f>VLOOKUP(29,$A$4:$AX$32,19,FALSE)</f>
        <v>0</v>
      </c>
      <c r="T63" s="102">
        <f>VLOOKUP(29,$A$4:$AX$32,20,FALSE)</f>
        <v>0</v>
      </c>
      <c r="U63" s="102">
        <f>VLOOKUP(29,$A$4:$AX$32,21,FALSE)</f>
        <v>0</v>
      </c>
      <c r="V63" s="102">
        <f>VLOOKUP(29,$A$4:$AX$32,22,FALSE)</f>
        <v>0</v>
      </c>
      <c r="W63" s="102">
        <f>VLOOKUP(29,$A$4:$AX$32,23,FALSE)</f>
        <v>0</v>
      </c>
      <c r="X63" s="102">
        <f>VLOOKUP(29,$A$4:$AX$32,24,FALSE)</f>
        <v>0</v>
      </c>
      <c r="Y63" s="102">
        <f>VLOOKUP(29,$A$4:$AX$32,25,FALSE)</f>
        <v>0</v>
      </c>
      <c r="Z63" s="102">
        <f>VLOOKUP(29,$A$4:$AX$32,26,FALSE)</f>
        <v>0</v>
      </c>
      <c r="AA63" s="102">
        <f>VLOOKUP(29,$A$4:$AX$32,27,FALSE)</f>
        <v>0</v>
      </c>
      <c r="AB63" s="102">
        <f>VLOOKUP(29,$A$4:$AX$32,28,FALSE)</f>
        <v>0</v>
      </c>
      <c r="AC63" s="102">
        <f>VLOOKUP(29,$A$4:$AX$32,29,FALSE)</f>
        <v>0</v>
      </c>
      <c r="AD63" s="102">
        <f>VLOOKUP(29,$A$4:$AX$32,30,FALSE)</f>
        <v>0</v>
      </c>
      <c r="AE63" s="102">
        <f>VLOOKUP(29,$A$4:$AX$32,31,FALSE)</f>
        <v>0</v>
      </c>
      <c r="AF63" s="102">
        <f>VLOOKUP(29,$A$4:$AX$32,32,FALSE)</f>
        <v>0</v>
      </c>
      <c r="AG63" s="102">
        <f>VLOOKUP(29,$A$4:$AX$32,33,FALSE)</f>
        <v>3</v>
      </c>
    </row>
    <row r="64" spans="2:24" ht="12.75">
      <c r="B64" s="44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</row>
    <row r="65" spans="2:33" ht="13.5" thickBot="1">
      <c r="B65" s="9" t="s">
        <v>0</v>
      </c>
      <c r="C65" s="12">
        <v>38169</v>
      </c>
      <c r="D65" s="12">
        <v>38200</v>
      </c>
      <c r="E65" s="12">
        <v>38231</v>
      </c>
      <c r="F65" s="12">
        <v>38261</v>
      </c>
      <c r="G65" s="12">
        <v>38292</v>
      </c>
      <c r="H65" s="12">
        <v>38322</v>
      </c>
      <c r="I65" s="12">
        <v>38353</v>
      </c>
      <c r="J65" s="12">
        <v>38384</v>
      </c>
      <c r="K65" s="12">
        <v>38412</v>
      </c>
      <c r="L65" s="12">
        <v>38443</v>
      </c>
      <c r="M65" s="12">
        <v>38473</v>
      </c>
      <c r="N65" s="12">
        <v>38504</v>
      </c>
      <c r="O65" s="12">
        <v>38534</v>
      </c>
      <c r="P65" s="12">
        <v>38565</v>
      </c>
      <c r="Q65" s="12">
        <v>38596</v>
      </c>
      <c r="R65" s="12">
        <v>38626</v>
      </c>
      <c r="S65" s="12">
        <v>38657</v>
      </c>
      <c r="T65" s="12">
        <v>38687</v>
      </c>
      <c r="U65" s="12">
        <v>38718</v>
      </c>
      <c r="V65" s="12">
        <v>38749</v>
      </c>
      <c r="W65" s="12">
        <v>38777</v>
      </c>
      <c r="X65" s="12">
        <v>38808</v>
      </c>
      <c r="Y65" s="12">
        <v>38838</v>
      </c>
      <c r="Z65" s="12">
        <v>38869</v>
      </c>
      <c r="AA65" s="12">
        <v>38899</v>
      </c>
      <c r="AB65" s="12">
        <v>38930</v>
      </c>
      <c r="AC65" s="12">
        <v>38961</v>
      </c>
      <c r="AD65" s="12">
        <v>38991</v>
      </c>
      <c r="AE65" s="12">
        <v>39022</v>
      </c>
      <c r="AF65" s="12">
        <v>39052</v>
      </c>
      <c r="AG65" s="12">
        <v>39083</v>
      </c>
    </row>
    <row r="66" spans="2:33" ht="13.5" thickTop="1">
      <c r="B66" s="97" t="s">
        <v>1</v>
      </c>
      <c r="C66" s="98">
        <f aca="true" t="shared" si="0" ref="C66:X77">IF(ISERROR(C35),0,C35)</f>
        <v>0</v>
      </c>
      <c r="D66" s="98">
        <f t="shared" si="0"/>
        <v>0</v>
      </c>
      <c r="E66" s="98">
        <f t="shared" si="0"/>
        <v>0</v>
      </c>
      <c r="F66" s="98">
        <f t="shared" si="0"/>
        <v>0</v>
      </c>
      <c r="G66" s="98">
        <f t="shared" si="0"/>
        <v>0</v>
      </c>
      <c r="H66" s="98">
        <f t="shared" si="0"/>
        <v>0</v>
      </c>
      <c r="I66" s="98">
        <f t="shared" si="0"/>
        <v>0</v>
      </c>
      <c r="J66" s="98">
        <f t="shared" si="0"/>
        <v>0</v>
      </c>
      <c r="K66" s="98">
        <f t="shared" si="0"/>
        <v>0</v>
      </c>
      <c r="L66" s="98">
        <f t="shared" si="0"/>
        <v>0</v>
      </c>
      <c r="M66" s="98">
        <f t="shared" si="0"/>
        <v>0</v>
      </c>
      <c r="N66" s="98">
        <f t="shared" si="0"/>
        <v>0</v>
      </c>
      <c r="O66" s="98">
        <f t="shared" si="0"/>
        <v>0</v>
      </c>
      <c r="P66" s="98">
        <f t="shared" si="0"/>
        <v>0</v>
      </c>
      <c r="Q66" s="98">
        <f t="shared" si="0"/>
        <v>0</v>
      </c>
      <c r="R66" s="98">
        <f t="shared" si="0"/>
        <v>0</v>
      </c>
      <c r="S66" s="98">
        <f t="shared" si="0"/>
        <v>0</v>
      </c>
      <c r="T66" s="98">
        <f t="shared" si="0"/>
        <v>1</v>
      </c>
      <c r="U66" s="98">
        <f t="shared" si="0"/>
        <v>8</v>
      </c>
      <c r="V66" s="98">
        <f t="shared" si="0"/>
        <v>14</v>
      </c>
      <c r="W66" s="98">
        <f t="shared" si="0"/>
        <v>16</v>
      </c>
      <c r="X66" s="98">
        <f t="shared" si="0"/>
        <v>21</v>
      </c>
      <c r="Y66" s="98">
        <f aca="true" t="shared" si="1" ref="Y66:AG81">IF(ISERROR(Y35),0,Y35)</f>
        <v>21</v>
      </c>
      <c r="Z66" s="98">
        <f t="shared" si="1"/>
        <v>24</v>
      </c>
      <c r="AA66" s="98">
        <f t="shared" si="1"/>
        <v>19</v>
      </c>
      <c r="AB66" s="98">
        <f t="shared" si="1"/>
        <v>25</v>
      </c>
      <c r="AC66" s="98">
        <f t="shared" si="1"/>
        <v>32</v>
      </c>
      <c r="AD66" s="98">
        <f t="shared" si="1"/>
        <v>43</v>
      </c>
      <c r="AE66" s="98">
        <f t="shared" si="1"/>
        <v>37</v>
      </c>
      <c r="AF66" s="98">
        <f t="shared" si="1"/>
        <v>33</v>
      </c>
      <c r="AG66" s="98">
        <f t="shared" si="1"/>
        <v>38</v>
      </c>
    </row>
    <row r="67" spans="2:33" ht="12.75">
      <c r="B67" s="99" t="s">
        <v>2</v>
      </c>
      <c r="C67" s="98">
        <f t="shared" si="0"/>
        <v>1270</v>
      </c>
      <c r="D67" s="98">
        <f t="shared" si="0"/>
        <v>1206</v>
      </c>
      <c r="E67" s="98">
        <f t="shared" si="0"/>
        <v>1234</v>
      </c>
      <c r="F67" s="98">
        <f t="shared" si="0"/>
        <v>1240</v>
      </c>
      <c r="G67" s="98">
        <f t="shared" si="0"/>
        <v>1273</v>
      </c>
      <c r="H67" s="98">
        <f t="shared" si="0"/>
        <v>1280</v>
      </c>
      <c r="I67" s="98">
        <f t="shared" si="0"/>
        <v>1250</v>
      </c>
      <c r="J67" s="98">
        <f t="shared" si="0"/>
        <v>1127</v>
      </c>
      <c r="K67" s="98">
        <f t="shared" si="0"/>
        <v>1347</v>
      </c>
      <c r="L67" s="98">
        <f t="shared" si="0"/>
        <v>1245</v>
      </c>
      <c r="M67" s="98">
        <f t="shared" si="0"/>
        <v>1350</v>
      </c>
      <c r="N67" s="98">
        <f t="shared" si="0"/>
        <v>1337</v>
      </c>
      <c r="O67" s="98">
        <f t="shared" si="0"/>
        <v>1260</v>
      </c>
      <c r="P67" s="98">
        <f t="shared" si="0"/>
        <v>1324</v>
      </c>
      <c r="Q67" s="98">
        <f t="shared" si="0"/>
        <v>1313</v>
      </c>
      <c r="R67" s="98">
        <f t="shared" si="0"/>
        <v>1309</v>
      </c>
      <c r="S67" s="98">
        <f t="shared" si="0"/>
        <v>1377</v>
      </c>
      <c r="T67" s="98">
        <f t="shared" si="0"/>
        <v>1374</v>
      </c>
      <c r="U67" s="98">
        <f t="shared" si="0"/>
        <v>1324</v>
      </c>
      <c r="V67" s="98">
        <f t="shared" si="0"/>
        <v>1297</v>
      </c>
      <c r="W67" s="98">
        <f t="shared" si="0"/>
        <v>1351</v>
      </c>
      <c r="X67" s="98">
        <f t="shared" si="0"/>
        <v>1227</v>
      </c>
      <c r="Y67" s="98">
        <f t="shared" si="1"/>
        <v>1300</v>
      </c>
      <c r="Z67" s="98">
        <f t="shared" si="1"/>
        <v>1338</v>
      </c>
      <c r="AA67" s="98">
        <f t="shared" si="1"/>
        <v>1239</v>
      </c>
      <c r="AB67" s="98">
        <f t="shared" si="1"/>
        <v>1273</v>
      </c>
      <c r="AC67" s="98">
        <f t="shared" si="1"/>
        <v>1233</v>
      </c>
      <c r="AD67" s="98">
        <f t="shared" si="1"/>
        <v>1346</v>
      </c>
      <c r="AE67" s="98">
        <f t="shared" si="1"/>
        <v>1325</v>
      </c>
      <c r="AF67" s="98">
        <f t="shared" si="1"/>
        <v>1234</v>
      </c>
      <c r="AG67" s="98">
        <f t="shared" si="1"/>
        <v>1368</v>
      </c>
    </row>
    <row r="68" spans="2:33" ht="12.75">
      <c r="B68" s="99" t="s">
        <v>3</v>
      </c>
      <c r="C68" s="98">
        <f t="shared" si="0"/>
        <v>209</v>
      </c>
      <c r="D68" s="98">
        <f t="shared" si="0"/>
        <v>202</v>
      </c>
      <c r="E68" s="98">
        <f t="shared" si="0"/>
        <v>227</v>
      </c>
      <c r="F68" s="98">
        <f t="shared" si="0"/>
        <v>214</v>
      </c>
      <c r="G68" s="98">
        <f t="shared" si="0"/>
        <v>225</v>
      </c>
      <c r="H68" s="98">
        <f t="shared" si="0"/>
        <v>240</v>
      </c>
      <c r="I68" s="98">
        <f t="shared" si="0"/>
        <v>232</v>
      </c>
      <c r="J68" s="98">
        <f t="shared" si="0"/>
        <v>224</v>
      </c>
      <c r="K68" s="98">
        <f t="shared" si="0"/>
        <v>279</v>
      </c>
      <c r="L68" s="98">
        <f t="shared" si="0"/>
        <v>260</v>
      </c>
      <c r="M68" s="98">
        <f t="shared" si="0"/>
        <v>258</v>
      </c>
      <c r="N68" s="98">
        <f t="shared" si="0"/>
        <v>258</v>
      </c>
      <c r="O68" s="98">
        <f t="shared" si="0"/>
        <v>255</v>
      </c>
      <c r="P68" s="98">
        <f t="shared" si="0"/>
        <v>262</v>
      </c>
      <c r="Q68" s="98">
        <f t="shared" si="0"/>
        <v>252</v>
      </c>
      <c r="R68" s="98">
        <f t="shared" si="0"/>
        <v>265</v>
      </c>
      <c r="S68" s="98">
        <f t="shared" si="0"/>
        <v>252</v>
      </c>
      <c r="T68" s="98">
        <f t="shared" si="0"/>
        <v>263</v>
      </c>
      <c r="U68" s="98">
        <f t="shared" si="0"/>
        <v>256</v>
      </c>
      <c r="V68" s="98">
        <f t="shared" si="0"/>
        <v>253</v>
      </c>
      <c r="W68" s="98">
        <f t="shared" si="0"/>
        <v>298</v>
      </c>
      <c r="X68" s="98">
        <f t="shared" si="0"/>
        <v>241</v>
      </c>
      <c r="Y68" s="98">
        <f t="shared" si="1"/>
        <v>269</v>
      </c>
      <c r="Z68" s="98">
        <f t="shared" si="1"/>
        <v>266</v>
      </c>
      <c r="AA68" s="98">
        <f t="shared" si="1"/>
        <v>257</v>
      </c>
      <c r="AB68" s="98">
        <f t="shared" si="1"/>
        <v>265</v>
      </c>
      <c r="AC68" s="98">
        <f t="shared" si="1"/>
        <v>246</v>
      </c>
      <c r="AD68" s="98">
        <f t="shared" si="1"/>
        <v>272</v>
      </c>
      <c r="AE68" s="98">
        <f t="shared" si="1"/>
        <v>266</v>
      </c>
      <c r="AF68" s="98">
        <f t="shared" si="1"/>
        <v>258</v>
      </c>
      <c r="AG68" s="98">
        <f t="shared" si="1"/>
        <v>284</v>
      </c>
    </row>
    <row r="69" spans="2:33" ht="12.75">
      <c r="B69" s="99" t="s">
        <v>42</v>
      </c>
      <c r="C69" s="98">
        <f t="shared" si="0"/>
        <v>0</v>
      </c>
      <c r="D69" s="98">
        <f t="shared" si="0"/>
        <v>0</v>
      </c>
      <c r="E69" s="98">
        <f t="shared" si="0"/>
        <v>0</v>
      </c>
      <c r="F69" s="98">
        <f t="shared" si="0"/>
        <v>0</v>
      </c>
      <c r="G69" s="98">
        <f t="shared" si="0"/>
        <v>0</v>
      </c>
      <c r="H69" s="98">
        <f t="shared" si="0"/>
        <v>0</v>
      </c>
      <c r="I69" s="98">
        <f t="shared" si="0"/>
        <v>0</v>
      </c>
      <c r="J69" s="98">
        <f t="shared" si="0"/>
        <v>0</v>
      </c>
      <c r="K69" s="98">
        <f t="shared" si="0"/>
        <v>0</v>
      </c>
      <c r="L69" s="98">
        <f t="shared" si="0"/>
        <v>0</v>
      </c>
      <c r="M69" s="98">
        <f t="shared" si="0"/>
        <v>0</v>
      </c>
      <c r="N69" s="98">
        <f t="shared" si="0"/>
        <v>0</v>
      </c>
      <c r="O69" s="98">
        <f t="shared" si="0"/>
        <v>0</v>
      </c>
      <c r="P69" s="98">
        <f t="shared" si="0"/>
        <v>0</v>
      </c>
      <c r="Q69" s="98">
        <f t="shared" si="0"/>
        <v>0</v>
      </c>
      <c r="R69" s="98">
        <f t="shared" si="0"/>
        <v>0</v>
      </c>
      <c r="S69" s="98">
        <f t="shared" si="0"/>
        <v>0</v>
      </c>
      <c r="T69" s="98">
        <f t="shared" si="0"/>
        <v>0</v>
      </c>
      <c r="U69" s="98">
        <f t="shared" si="0"/>
        <v>0</v>
      </c>
      <c r="V69" s="98">
        <f t="shared" si="0"/>
        <v>0</v>
      </c>
      <c r="W69" s="98">
        <f t="shared" si="0"/>
        <v>0</v>
      </c>
      <c r="X69" s="98">
        <f t="shared" si="0"/>
        <v>0</v>
      </c>
      <c r="Y69" s="98">
        <f t="shared" si="1"/>
        <v>0</v>
      </c>
      <c r="Z69" s="98">
        <f t="shared" si="1"/>
        <v>0</v>
      </c>
      <c r="AA69" s="98">
        <f t="shared" si="1"/>
        <v>0</v>
      </c>
      <c r="AB69" s="98">
        <f t="shared" si="1"/>
        <v>0</v>
      </c>
      <c r="AC69" s="98">
        <f t="shared" si="1"/>
        <v>1</v>
      </c>
      <c r="AD69" s="98">
        <f t="shared" si="1"/>
        <v>6</v>
      </c>
      <c r="AE69" s="98">
        <f t="shared" si="1"/>
        <v>9</v>
      </c>
      <c r="AF69" s="98">
        <f t="shared" si="1"/>
        <v>13</v>
      </c>
      <c r="AG69" s="98">
        <f t="shared" si="1"/>
        <v>19</v>
      </c>
    </row>
    <row r="70" spans="2:33" ht="12.75">
      <c r="B70" s="99" t="s">
        <v>4</v>
      </c>
      <c r="C70" s="98">
        <f t="shared" si="0"/>
        <v>1769</v>
      </c>
      <c r="D70" s="98">
        <f t="shared" si="0"/>
        <v>1608</v>
      </c>
      <c r="E70" s="98">
        <f t="shared" si="0"/>
        <v>1723</v>
      </c>
      <c r="F70" s="98">
        <f t="shared" si="0"/>
        <v>1710</v>
      </c>
      <c r="G70" s="98">
        <f t="shared" si="0"/>
        <v>1751</v>
      </c>
      <c r="H70" s="98">
        <f t="shared" si="0"/>
        <v>1767</v>
      </c>
      <c r="I70" s="98">
        <f t="shared" si="0"/>
        <v>1734</v>
      </c>
      <c r="J70" s="98">
        <f t="shared" si="0"/>
        <v>1568</v>
      </c>
      <c r="K70" s="98">
        <f t="shared" si="0"/>
        <v>1828</v>
      </c>
      <c r="L70" s="98">
        <f t="shared" si="0"/>
        <v>1709</v>
      </c>
      <c r="M70" s="98">
        <f t="shared" si="0"/>
        <v>1752</v>
      </c>
      <c r="N70" s="98">
        <f t="shared" si="0"/>
        <v>1718</v>
      </c>
      <c r="O70" s="98">
        <f t="shared" si="0"/>
        <v>1692</v>
      </c>
      <c r="P70" s="98">
        <f t="shared" si="0"/>
        <v>1621</v>
      </c>
      <c r="Q70" s="98">
        <f t="shared" si="0"/>
        <v>1719</v>
      </c>
      <c r="R70" s="98">
        <f t="shared" si="0"/>
        <v>1683</v>
      </c>
      <c r="S70" s="98">
        <f t="shared" si="0"/>
        <v>1676</v>
      </c>
      <c r="T70" s="98">
        <f t="shared" si="0"/>
        <v>1740</v>
      </c>
      <c r="U70" s="98">
        <f t="shared" si="0"/>
        <v>1670</v>
      </c>
      <c r="V70" s="98">
        <f t="shared" si="0"/>
        <v>1606</v>
      </c>
      <c r="W70" s="98">
        <f t="shared" si="0"/>
        <v>1704</v>
      </c>
      <c r="X70" s="98">
        <f t="shared" si="0"/>
        <v>1550</v>
      </c>
      <c r="Y70" s="98">
        <f t="shared" si="1"/>
        <v>1669</v>
      </c>
      <c r="Z70" s="98">
        <f t="shared" si="1"/>
        <v>1574</v>
      </c>
      <c r="AA70" s="98">
        <f t="shared" si="1"/>
        <v>1522</v>
      </c>
      <c r="AB70" s="98">
        <f t="shared" si="1"/>
        <v>1590</v>
      </c>
      <c r="AC70" s="98">
        <f t="shared" si="1"/>
        <v>1465</v>
      </c>
      <c r="AD70" s="98">
        <f t="shared" si="1"/>
        <v>1621</v>
      </c>
      <c r="AE70" s="98">
        <f t="shared" si="1"/>
        <v>1567</v>
      </c>
      <c r="AF70" s="98">
        <f t="shared" si="1"/>
        <v>1477</v>
      </c>
      <c r="AG70" s="98">
        <f t="shared" si="1"/>
        <v>1639</v>
      </c>
    </row>
    <row r="71" spans="2:33" ht="12.75">
      <c r="B71" s="99" t="s">
        <v>5</v>
      </c>
      <c r="C71" s="98">
        <f t="shared" si="0"/>
        <v>618</v>
      </c>
      <c r="D71" s="98">
        <f t="shared" si="0"/>
        <v>565</v>
      </c>
      <c r="E71" s="98">
        <f t="shared" si="0"/>
        <v>611</v>
      </c>
      <c r="F71" s="98">
        <f t="shared" si="0"/>
        <v>643</v>
      </c>
      <c r="G71" s="98">
        <f t="shared" si="0"/>
        <v>656</v>
      </c>
      <c r="H71" s="98">
        <f t="shared" si="0"/>
        <v>671</v>
      </c>
      <c r="I71" s="98">
        <f t="shared" si="0"/>
        <v>628</v>
      </c>
      <c r="J71" s="98">
        <f t="shared" si="0"/>
        <v>609</v>
      </c>
      <c r="K71" s="98">
        <f t="shared" si="0"/>
        <v>728</v>
      </c>
      <c r="L71" s="98">
        <f t="shared" si="0"/>
        <v>655</v>
      </c>
      <c r="M71" s="98">
        <f t="shared" si="0"/>
        <v>706</v>
      </c>
      <c r="N71" s="98">
        <f t="shared" si="0"/>
        <v>689</v>
      </c>
      <c r="O71" s="98">
        <f t="shared" si="0"/>
        <v>649</v>
      </c>
      <c r="P71" s="98">
        <f t="shared" si="0"/>
        <v>665</v>
      </c>
      <c r="Q71" s="98">
        <f t="shared" si="0"/>
        <v>683</v>
      </c>
      <c r="R71" s="98">
        <f t="shared" si="0"/>
        <v>691</v>
      </c>
      <c r="S71" s="98">
        <f t="shared" si="0"/>
        <v>669</v>
      </c>
      <c r="T71" s="98">
        <f t="shared" si="0"/>
        <v>711</v>
      </c>
      <c r="U71" s="98">
        <f t="shared" si="0"/>
        <v>686</v>
      </c>
      <c r="V71" s="98">
        <f t="shared" si="0"/>
        <v>645</v>
      </c>
      <c r="W71" s="98">
        <f t="shared" si="0"/>
        <v>700</v>
      </c>
      <c r="X71" s="98">
        <f t="shared" si="0"/>
        <v>641</v>
      </c>
      <c r="Y71" s="98">
        <f t="shared" si="1"/>
        <v>684</v>
      </c>
      <c r="Z71" s="98">
        <f t="shared" si="1"/>
        <v>689</v>
      </c>
      <c r="AA71" s="98">
        <f t="shared" si="1"/>
        <v>634</v>
      </c>
      <c r="AB71" s="98">
        <f t="shared" si="1"/>
        <v>648</v>
      </c>
      <c r="AC71" s="98">
        <f t="shared" si="1"/>
        <v>581</v>
      </c>
      <c r="AD71" s="98">
        <f t="shared" si="1"/>
        <v>639</v>
      </c>
      <c r="AE71" s="98">
        <f t="shared" si="1"/>
        <v>634</v>
      </c>
      <c r="AF71" s="98">
        <f t="shared" si="1"/>
        <v>589</v>
      </c>
      <c r="AG71" s="98">
        <f t="shared" si="1"/>
        <v>666</v>
      </c>
    </row>
    <row r="72" spans="2:33" ht="12.75">
      <c r="B72" s="99" t="s">
        <v>38</v>
      </c>
      <c r="C72" s="98">
        <f t="shared" si="0"/>
        <v>0</v>
      </c>
      <c r="D72" s="98">
        <f t="shared" si="0"/>
        <v>0</v>
      </c>
      <c r="E72" s="98">
        <f t="shared" si="0"/>
        <v>0</v>
      </c>
      <c r="F72" s="98">
        <f t="shared" si="0"/>
        <v>0</v>
      </c>
      <c r="G72" s="98">
        <f t="shared" si="0"/>
        <v>0</v>
      </c>
      <c r="H72" s="98">
        <f t="shared" si="0"/>
        <v>0</v>
      </c>
      <c r="I72" s="98">
        <f t="shared" si="0"/>
        <v>0</v>
      </c>
      <c r="J72" s="98">
        <f t="shared" si="0"/>
        <v>0</v>
      </c>
      <c r="K72" s="98">
        <f t="shared" si="0"/>
        <v>0</v>
      </c>
      <c r="L72" s="98">
        <f t="shared" si="0"/>
        <v>0</v>
      </c>
      <c r="M72" s="98">
        <f t="shared" si="0"/>
        <v>0</v>
      </c>
      <c r="N72" s="98">
        <f t="shared" si="0"/>
        <v>0</v>
      </c>
      <c r="O72" s="98">
        <f t="shared" si="0"/>
        <v>0</v>
      </c>
      <c r="P72" s="98">
        <f t="shared" si="0"/>
        <v>0</v>
      </c>
      <c r="Q72" s="98">
        <f t="shared" si="0"/>
        <v>0</v>
      </c>
      <c r="R72" s="98">
        <f t="shared" si="0"/>
        <v>0</v>
      </c>
      <c r="S72" s="98">
        <f t="shared" si="0"/>
        <v>0</v>
      </c>
      <c r="T72" s="98">
        <f t="shared" si="0"/>
        <v>0</v>
      </c>
      <c r="U72" s="98">
        <f t="shared" si="0"/>
        <v>0</v>
      </c>
      <c r="V72" s="98">
        <f t="shared" si="0"/>
        <v>0</v>
      </c>
      <c r="W72" s="98">
        <f t="shared" si="0"/>
        <v>0</v>
      </c>
      <c r="X72" s="98">
        <f t="shared" si="0"/>
        <v>0</v>
      </c>
      <c r="Y72" s="98">
        <f t="shared" si="1"/>
        <v>0</v>
      </c>
      <c r="Z72" s="98">
        <f t="shared" si="1"/>
        <v>9</v>
      </c>
      <c r="AA72" s="98">
        <f t="shared" si="1"/>
        <v>20</v>
      </c>
      <c r="AB72" s="98">
        <f t="shared" si="1"/>
        <v>30</v>
      </c>
      <c r="AC72" s="98">
        <f t="shared" si="1"/>
        <v>40</v>
      </c>
      <c r="AD72" s="98">
        <f t="shared" si="1"/>
        <v>64</v>
      </c>
      <c r="AE72" s="98">
        <f t="shared" si="1"/>
        <v>78</v>
      </c>
      <c r="AF72" s="98">
        <f t="shared" si="1"/>
        <v>85</v>
      </c>
      <c r="AG72" s="98">
        <f t="shared" si="1"/>
        <v>106</v>
      </c>
    </row>
    <row r="73" spans="2:33" ht="12.75">
      <c r="B73" s="99" t="s">
        <v>6</v>
      </c>
      <c r="C73" s="98">
        <f t="shared" si="0"/>
        <v>98</v>
      </c>
      <c r="D73" s="98">
        <f t="shared" si="0"/>
        <v>85</v>
      </c>
      <c r="E73" s="98">
        <f t="shared" si="0"/>
        <v>84</v>
      </c>
      <c r="F73" s="98">
        <f t="shared" si="0"/>
        <v>92</v>
      </c>
      <c r="G73" s="98">
        <f t="shared" si="0"/>
        <v>90</v>
      </c>
      <c r="H73" s="98">
        <f t="shared" si="0"/>
        <v>105</v>
      </c>
      <c r="I73" s="98">
        <f t="shared" si="0"/>
        <v>105</v>
      </c>
      <c r="J73" s="98">
        <f t="shared" si="0"/>
        <v>103</v>
      </c>
      <c r="K73" s="98">
        <f t="shared" si="0"/>
        <v>108</v>
      </c>
      <c r="L73" s="98">
        <f t="shared" si="0"/>
        <v>93</v>
      </c>
      <c r="M73" s="98">
        <f t="shared" si="0"/>
        <v>103</v>
      </c>
      <c r="N73" s="98">
        <f t="shared" si="0"/>
        <v>99</v>
      </c>
      <c r="O73" s="98">
        <f t="shared" si="0"/>
        <v>104</v>
      </c>
      <c r="P73" s="98">
        <f t="shared" si="0"/>
        <v>108</v>
      </c>
      <c r="Q73" s="98">
        <f t="shared" si="0"/>
        <v>110</v>
      </c>
      <c r="R73" s="98">
        <f t="shared" si="0"/>
        <v>110</v>
      </c>
      <c r="S73" s="98">
        <f t="shared" si="0"/>
        <v>121</v>
      </c>
      <c r="T73" s="98">
        <f t="shared" si="0"/>
        <v>121</v>
      </c>
      <c r="U73" s="98">
        <f t="shared" si="0"/>
        <v>125</v>
      </c>
      <c r="V73" s="98">
        <f t="shared" si="0"/>
        <v>120</v>
      </c>
      <c r="W73" s="98">
        <f t="shared" si="0"/>
        <v>120</v>
      </c>
      <c r="X73" s="98">
        <f t="shared" si="0"/>
        <v>118</v>
      </c>
      <c r="Y73" s="98">
        <f t="shared" si="1"/>
        <v>114</v>
      </c>
      <c r="Z73" s="98">
        <f t="shared" si="1"/>
        <v>108</v>
      </c>
      <c r="AA73" s="98">
        <f t="shared" si="1"/>
        <v>112</v>
      </c>
      <c r="AB73" s="98">
        <f t="shared" si="1"/>
        <v>111</v>
      </c>
      <c r="AC73" s="98">
        <f t="shared" si="1"/>
        <v>105</v>
      </c>
      <c r="AD73" s="98">
        <f t="shared" si="1"/>
        <v>119</v>
      </c>
      <c r="AE73" s="98">
        <f t="shared" si="1"/>
        <v>112</v>
      </c>
      <c r="AF73" s="98">
        <f t="shared" si="1"/>
        <v>110</v>
      </c>
      <c r="AG73" s="98">
        <f t="shared" si="1"/>
        <v>111</v>
      </c>
    </row>
    <row r="74" spans="2:33" ht="12.75">
      <c r="B74" s="99" t="s">
        <v>7</v>
      </c>
      <c r="C74" s="98">
        <f t="shared" si="0"/>
        <v>173</v>
      </c>
      <c r="D74" s="98">
        <f t="shared" si="0"/>
        <v>171</v>
      </c>
      <c r="E74" s="98">
        <f t="shared" si="0"/>
        <v>172</v>
      </c>
      <c r="F74" s="98">
        <f t="shared" si="0"/>
        <v>178</v>
      </c>
      <c r="G74" s="98">
        <f t="shared" si="0"/>
        <v>185</v>
      </c>
      <c r="H74" s="98">
        <f t="shared" si="0"/>
        <v>189</v>
      </c>
      <c r="I74" s="98">
        <f t="shared" si="0"/>
        <v>181</v>
      </c>
      <c r="J74" s="98">
        <f t="shared" si="0"/>
        <v>180</v>
      </c>
      <c r="K74" s="98">
        <f t="shared" si="0"/>
        <v>195</v>
      </c>
      <c r="L74" s="98">
        <f t="shared" si="0"/>
        <v>203</v>
      </c>
      <c r="M74" s="98">
        <f t="shared" si="0"/>
        <v>201</v>
      </c>
      <c r="N74" s="98">
        <f t="shared" si="0"/>
        <v>196</v>
      </c>
      <c r="O74" s="98">
        <f t="shared" si="0"/>
        <v>189</v>
      </c>
      <c r="P74" s="98">
        <f t="shared" si="0"/>
        <v>191</v>
      </c>
      <c r="Q74" s="98">
        <f t="shared" si="0"/>
        <v>176</v>
      </c>
      <c r="R74" s="98">
        <f t="shared" si="0"/>
        <v>184</v>
      </c>
      <c r="S74" s="98">
        <f t="shared" si="0"/>
        <v>198</v>
      </c>
      <c r="T74" s="98">
        <f t="shared" si="0"/>
        <v>191</v>
      </c>
      <c r="U74" s="98">
        <f t="shared" si="0"/>
        <v>193</v>
      </c>
      <c r="V74" s="98">
        <f t="shared" si="0"/>
        <v>191</v>
      </c>
      <c r="W74" s="98">
        <f t="shared" si="0"/>
        <v>195</v>
      </c>
      <c r="X74" s="98">
        <f t="shared" si="0"/>
        <v>176</v>
      </c>
      <c r="Y74" s="98">
        <f t="shared" si="1"/>
        <v>182</v>
      </c>
      <c r="Z74" s="98">
        <f t="shared" si="1"/>
        <v>184</v>
      </c>
      <c r="AA74" s="98">
        <f t="shared" si="1"/>
        <v>179</v>
      </c>
      <c r="AB74" s="98">
        <f t="shared" si="1"/>
        <v>180</v>
      </c>
      <c r="AC74" s="98">
        <f t="shared" si="1"/>
        <v>167</v>
      </c>
      <c r="AD74" s="98">
        <f t="shared" si="1"/>
        <v>208</v>
      </c>
      <c r="AE74" s="98">
        <f t="shared" si="1"/>
        <v>185</v>
      </c>
      <c r="AF74" s="98">
        <f t="shared" si="1"/>
        <v>167</v>
      </c>
      <c r="AG74" s="98">
        <f t="shared" si="1"/>
        <v>174</v>
      </c>
    </row>
    <row r="75" spans="2:33" ht="12.75">
      <c r="B75" s="99" t="s">
        <v>8</v>
      </c>
      <c r="C75" s="98">
        <f t="shared" si="0"/>
        <v>238</v>
      </c>
      <c r="D75" s="98">
        <f t="shared" si="0"/>
        <v>241</v>
      </c>
      <c r="E75" s="98">
        <f t="shared" si="0"/>
        <v>247</v>
      </c>
      <c r="F75" s="98">
        <f t="shared" si="0"/>
        <v>260</v>
      </c>
      <c r="G75" s="98">
        <f t="shared" si="0"/>
        <v>273</v>
      </c>
      <c r="H75" s="98">
        <f t="shared" si="0"/>
        <v>282</v>
      </c>
      <c r="I75" s="98">
        <f t="shared" si="0"/>
        <v>288</v>
      </c>
      <c r="J75" s="98">
        <f t="shared" si="0"/>
        <v>253</v>
      </c>
      <c r="K75" s="98">
        <f t="shared" si="0"/>
        <v>329</v>
      </c>
      <c r="L75" s="98">
        <f t="shared" si="0"/>
        <v>314</v>
      </c>
      <c r="M75" s="98">
        <f t="shared" si="0"/>
        <v>313</v>
      </c>
      <c r="N75" s="98">
        <f t="shared" si="0"/>
        <v>308</v>
      </c>
      <c r="O75" s="98">
        <f t="shared" si="0"/>
        <v>295</v>
      </c>
      <c r="P75" s="98">
        <f t="shared" si="0"/>
        <v>285</v>
      </c>
      <c r="Q75" s="98">
        <f t="shared" si="0"/>
        <v>283</v>
      </c>
      <c r="R75" s="98">
        <f t="shared" si="0"/>
        <v>306</v>
      </c>
      <c r="S75" s="98">
        <f t="shared" si="0"/>
        <v>309</v>
      </c>
      <c r="T75" s="98">
        <f t="shared" si="0"/>
        <v>331</v>
      </c>
      <c r="U75" s="98">
        <f t="shared" si="0"/>
        <v>320</v>
      </c>
      <c r="V75" s="98">
        <f t="shared" si="0"/>
        <v>329</v>
      </c>
      <c r="W75" s="98">
        <f t="shared" si="0"/>
        <v>334</v>
      </c>
      <c r="X75" s="98">
        <f t="shared" si="0"/>
        <v>314</v>
      </c>
      <c r="Y75" s="98">
        <f t="shared" si="1"/>
        <v>332</v>
      </c>
      <c r="Z75" s="98">
        <f t="shared" si="1"/>
        <v>322</v>
      </c>
      <c r="AA75" s="98">
        <f t="shared" si="1"/>
        <v>314</v>
      </c>
      <c r="AB75" s="98">
        <f t="shared" si="1"/>
        <v>315</v>
      </c>
      <c r="AC75" s="98">
        <f t="shared" si="1"/>
        <v>305</v>
      </c>
      <c r="AD75" s="98">
        <f t="shared" si="1"/>
        <v>332</v>
      </c>
      <c r="AE75" s="98">
        <f t="shared" si="1"/>
        <v>305</v>
      </c>
      <c r="AF75" s="98">
        <f t="shared" si="1"/>
        <v>305</v>
      </c>
      <c r="AG75" s="98">
        <f t="shared" si="1"/>
        <v>308</v>
      </c>
    </row>
    <row r="76" spans="2:33" ht="12.75">
      <c r="B76" s="99" t="s">
        <v>9</v>
      </c>
      <c r="C76" s="98">
        <f t="shared" si="0"/>
        <v>1191</v>
      </c>
      <c r="D76" s="98">
        <f t="shared" si="0"/>
        <v>1157</v>
      </c>
      <c r="E76" s="98">
        <f t="shared" si="0"/>
        <v>1151</v>
      </c>
      <c r="F76" s="98">
        <f t="shared" si="0"/>
        <v>1173</v>
      </c>
      <c r="G76" s="98">
        <f t="shared" si="0"/>
        <v>1244</v>
      </c>
      <c r="H76" s="98">
        <f t="shared" si="0"/>
        <v>1299</v>
      </c>
      <c r="I76" s="98">
        <f t="shared" si="0"/>
        <v>1245</v>
      </c>
      <c r="J76" s="98">
        <f t="shared" si="0"/>
        <v>1204</v>
      </c>
      <c r="K76" s="98">
        <f t="shared" si="0"/>
        <v>1416</v>
      </c>
      <c r="L76" s="98">
        <f t="shared" si="0"/>
        <v>1380</v>
      </c>
      <c r="M76" s="98">
        <f t="shared" si="0"/>
        <v>1405</v>
      </c>
      <c r="N76" s="98">
        <f t="shared" si="0"/>
        <v>1338</v>
      </c>
      <c r="O76" s="98">
        <f t="shared" si="0"/>
        <v>1323</v>
      </c>
      <c r="P76" s="98">
        <f t="shared" si="0"/>
        <v>1347</v>
      </c>
      <c r="Q76" s="98">
        <f t="shared" si="0"/>
        <v>1330</v>
      </c>
      <c r="R76" s="98">
        <f t="shared" si="0"/>
        <v>1379</v>
      </c>
      <c r="S76" s="98">
        <f t="shared" si="0"/>
        <v>1453</v>
      </c>
      <c r="T76" s="98">
        <f t="shared" si="0"/>
        <v>1455</v>
      </c>
      <c r="U76" s="98">
        <f t="shared" si="0"/>
        <v>1435</v>
      </c>
      <c r="V76" s="98">
        <f t="shared" si="0"/>
        <v>1454</v>
      </c>
      <c r="W76" s="98">
        <f t="shared" si="0"/>
        <v>1523</v>
      </c>
      <c r="X76" s="98">
        <f t="shared" si="0"/>
        <v>1458</v>
      </c>
      <c r="Y76" s="98">
        <f t="shared" si="1"/>
        <v>1550</v>
      </c>
      <c r="Z76" s="98">
        <f t="shared" si="1"/>
        <v>1520</v>
      </c>
      <c r="AA76" s="98">
        <f t="shared" si="1"/>
        <v>1440</v>
      </c>
      <c r="AB76" s="98">
        <f t="shared" si="1"/>
        <v>1479</v>
      </c>
      <c r="AC76" s="98">
        <f t="shared" si="1"/>
        <v>1428</v>
      </c>
      <c r="AD76" s="98">
        <f t="shared" si="1"/>
        <v>1515</v>
      </c>
      <c r="AE76" s="98">
        <f t="shared" si="1"/>
        <v>1482</v>
      </c>
      <c r="AF76" s="98">
        <f t="shared" si="1"/>
        <v>1444</v>
      </c>
      <c r="AG76" s="98">
        <f t="shared" si="1"/>
        <v>1526</v>
      </c>
    </row>
    <row r="77" spans="2:33" ht="12.75">
      <c r="B77" s="99" t="s">
        <v>10</v>
      </c>
      <c r="C77" s="98">
        <f t="shared" si="0"/>
        <v>418</v>
      </c>
      <c r="D77" s="98">
        <f t="shared" si="0"/>
        <v>393</v>
      </c>
      <c r="E77" s="98">
        <f t="shared" si="0"/>
        <v>444</v>
      </c>
      <c r="F77" s="98">
        <f t="shared" si="0"/>
        <v>458</v>
      </c>
      <c r="G77" s="98">
        <f t="shared" si="0"/>
        <v>471</v>
      </c>
      <c r="H77" s="98">
        <f t="shared" si="0"/>
        <v>482</v>
      </c>
      <c r="I77" s="98">
        <f t="shared" si="0"/>
        <v>477</v>
      </c>
      <c r="J77" s="98">
        <f t="shared" si="0"/>
        <v>467</v>
      </c>
      <c r="K77" s="98">
        <f t="shared" si="0"/>
        <v>546</v>
      </c>
      <c r="L77" s="98">
        <f t="shared" si="0"/>
        <v>500</v>
      </c>
      <c r="M77" s="98">
        <f t="shared" si="0"/>
        <v>517</v>
      </c>
      <c r="N77" s="98">
        <f t="shared" si="0"/>
        <v>491</v>
      </c>
      <c r="O77" s="98">
        <f t="shared" si="0"/>
        <v>481</v>
      </c>
      <c r="P77" s="98">
        <f aca="true" t="shared" si="2" ref="D77:X89">IF(ISERROR(P46),0,P46)</f>
        <v>479</v>
      </c>
      <c r="Q77" s="98">
        <f t="shared" si="2"/>
        <v>516</v>
      </c>
      <c r="R77" s="98">
        <f t="shared" si="2"/>
        <v>498</v>
      </c>
      <c r="S77" s="98">
        <f t="shared" si="2"/>
        <v>514</v>
      </c>
      <c r="T77" s="98">
        <f t="shared" si="2"/>
        <v>530</v>
      </c>
      <c r="U77" s="98">
        <f t="shared" si="2"/>
        <v>515</v>
      </c>
      <c r="V77" s="98">
        <f t="shared" si="2"/>
        <v>501</v>
      </c>
      <c r="W77" s="98">
        <f t="shared" si="2"/>
        <v>554</v>
      </c>
      <c r="X77" s="98">
        <f t="shared" si="2"/>
        <v>532</v>
      </c>
      <c r="Y77" s="98">
        <f t="shared" si="1"/>
        <v>556</v>
      </c>
      <c r="Z77" s="98">
        <f t="shared" si="1"/>
        <v>560</v>
      </c>
      <c r="AA77" s="98">
        <f t="shared" si="1"/>
        <v>534</v>
      </c>
      <c r="AB77" s="98">
        <f t="shared" si="1"/>
        <v>555</v>
      </c>
      <c r="AC77" s="98">
        <f t="shared" si="1"/>
        <v>544</v>
      </c>
      <c r="AD77" s="98">
        <f t="shared" si="1"/>
        <v>564</v>
      </c>
      <c r="AE77" s="98">
        <f t="shared" si="1"/>
        <v>538</v>
      </c>
      <c r="AF77" s="98">
        <f t="shared" si="1"/>
        <v>538</v>
      </c>
      <c r="AG77" s="98">
        <f t="shared" si="1"/>
        <v>560</v>
      </c>
    </row>
    <row r="78" spans="2:33" ht="12.75">
      <c r="B78" s="99" t="s">
        <v>11</v>
      </c>
      <c r="C78" s="98">
        <f aca="true" t="shared" si="3" ref="C78:C93">IF(ISERROR(C47),0,C47)</f>
        <v>346</v>
      </c>
      <c r="D78" s="98">
        <f t="shared" si="2"/>
        <v>347</v>
      </c>
      <c r="E78" s="98">
        <f t="shared" si="2"/>
        <v>373</v>
      </c>
      <c r="F78" s="98">
        <f t="shared" si="2"/>
        <v>360</v>
      </c>
      <c r="G78" s="98">
        <f t="shared" si="2"/>
        <v>374</v>
      </c>
      <c r="H78" s="98">
        <f t="shared" si="2"/>
        <v>377</v>
      </c>
      <c r="I78" s="98">
        <f t="shared" si="2"/>
        <v>372</v>
      </c>
      <c r="J78" s="98">
        <f t="shared" si="2"/>
        <v>335</v>
      </c>
      <c r="K78" s="98">
        <f t="shared" si="2"/>
        <v>406</v>
      </c>
      <c r="L78" s="98">
        <f t="shared" si="2"/>
        <v>394</v>
      </c>
      <c r="M78" s="98">
        <f t="shared" si="2"/>
        <v>388</v>
      </c>
      <c r="N78" s="98">
        <f t="shared" si="2"/>
        <v>383</v>
      </c>
      <c r="O78" s="98">
        <f t="shared" si="2"/>
        <v>378</v>
      </c>
      <c r="P78" s="98">
        <f t="shared" si="2"/>
        <v>391</v>
      </c>
      <c r="Q78" s="98">
        <f t="shared" si="2"/>
        <v>388</v>
      </c>
      <c r="R78" s="98">
        <f t="shared" si="2"/>
        <v>404</v>
      </c>
      <c r="S78" s="98">
        <f t="shared" si="2"/>
        <v>406</v>
      </c>
      <c r="T78" s="98">
        <f t="shared" si="2"/>
        <v>414</v>
      </c>
      <c r="U78" s="98">
        <f t="shared" si="2"/>
        <v>399</v>
      </c>
      <c r="V78" s="98">
        <f t="shared" si="2"/>
        <v>399</v>
      </c>
      <c r="W78" s="98">
        <f t="shared" si="2"/>
        <v>394</v>
      </c>
      <c r="X78" s="98">
        <f t="shared" si="2"/>
        <v>380</v>
      </c>
      <c r="Y78" s="98">
        <f t="shared" si="1"/>
        <v>402</v>
      </c>
      <c r="Z78" s="98">
        <f t="shared" si="1"/>
        <v>410</v>
      </c>
      <c r="AA78" s="98">
        <f t="shared" si="1"/>
        <v>377</v>
      </c>
      <c r="AB78" s="98">
        <f t="shared" si="1"/>
        <v>392</v>
      </c>
      <c r="AC78" s="98">
        <f t="shared" si="1"/>
        <v>373</v>
      </c>
      <c r="AD78" s="98">
        <f t="shared" si="1"/>
        <v>374</v>
      </c>
      <c r="AE78" s="98">
        <f t="shared" si="1"/>
        <v>373</v>
      </c>
      <c r="AF78" s="98">
        <f t="shared" si="1"/>
        <v>377</v>
      </c>
      <c r="AG78" s="98">
        <f t="shared" si="1"/>
        <v>404</v>
      </c>
    </row>
    <row r="79" spans="2:33" ht="12.75">
      <c r="B79" s="99" t="s">
        <v>12</v>
      </c>
      <c r="C79" s="98">
        <f t="shared" si="3"/>
        <v>18</v>
      </c>
      <c r="D79" s="98">
        <f t="shared" si="2"/>
        <v>17</v>
      </c>
      <c r="E79" s="98">
        <f t="shared" si="2"/>
        <v>20</v>
      </c>
      <c r="F79" s="98">
        <f t="shared" si="2"/>
        <v>22</v>
      </c>
      <c r="G79" s="98">
        <f t="shared" si="2"/>
        <v>22</v>
      </c>
      <c r="H79" s="98">
        <f t="shared" si="2"/>
        <v>28</v>
      </c>
      <c r="I79" s="98">
        <f t="shared" si="2"/>
        <v>30</v>
      </c>
      <c r="J79" s="98">
        <f t="shared" si="2"/>
        <v>22</v>
      </c>
      <c r="K79" s="98">
        <f t="shared" si="2"/>
        <v>29</v>
      </c>
      <c r="L79" s="98">
        <f t="shared" si="2"/>
        <v>32</v>
      </c>
      <c r="M79" s="98">
        <f t="shared" si="2"/>
        <v>29</v>
      </c>
      <c r="N79" s="98">
        <f t="shared" si="2"/>
        <v>34</v>
      </c>
      <c r="O79" s="98">
        <f t="shared" si="2"/>
        <v>36</v>
      </c>
      <c r="P79" s="98">
        <f t="shared" si="2"/>
        <v>38</v>
      </c>
      <c r="Q79" s="98">
        <f t="shared" si="2"/>
        <v>41</v>
      </c>
      <c r="R79" s="98">
        <f t="shared" si="2"/>
        <v>36</v>
      </c>
      <c r="S79" s="98">
        <f t="shared" si="2"/>
        <v>46</v>
      </c>
      <c r="T79" s="98">
        <f t="shared" si="2"/>
        <v>51</v>
      </c>
      <c r="U79" s="98">
        <f t="shared" si="2"/>
        <v>45</v>
      </c>
      <c r="V79" s="98">
        <f t="shared" si="2"/>
        <v>51</v>
      </c>
      <c r="W79" s="98">
        <f t="shared" si="2"/>
        <v>60</v>
      </c>
      <c r="X79" s="98">
        <f t="shared" si="2"/>
        <v>53</v>
      </c>
      <c r="Y79" s="98">
        <f t="shared" si="1"/>
        <v>62</v>
      </c>
      <c r="Z79" s="98">
        <f t="shared" si="1"/>
        <v>64</v>
      </c>
      <c r="AA79" s="98">
        <f t="shared" si="1"/>
        <v>72</v>
      </c>
      <c r="AB79" s="98">
        <f t="shared" si="1"/>
        <v>72</v>
      </c>
      <c r="AC79" s="98">
        <f t="shared" si="1"/>
        <v>66</v>
      </c>
      <c r="AD79" s="98">
        <f t="shared" si="1"/>
        <v>75</v>
      </c>
      <c r="AE79" s="98">
        <f t="shared" si="1"/>
        <v>71</v>
      </c>
      <c r="AF79" s="98">
        <f t="shared" si="1"/>
        <v>55</v>
      </c>
      <c r="AG79" s="98">
        <f t="shared" si="1"/>
        <v>66</v>
      </c>
    </row>
    <row r="80" spans="2:33" ht="12.75">
      <c r="B80" s="99" t="s">
        <v>13</v>
      </c>
      <c r="C80" s="98">
        <f t="shared" si="3"/>
        <v>0</v>
      </c>
      <c r="D80" s="98">
        <f t="shared" si="2"/>
        <v>0</v>
      </c>
      <c r="E80" s="98">
        <f t="shared" si="2"/>
        <v>0</v>
      </c>
      <c r="F80" s="98">
        <f t="shared" si="2"/>
        <v>0</v>
      </c>
      <c r="G80" s="98">
        <f t="shared" si="2"/>
        <v>0</v>
      </c>
      <c r="H80" s="98">
        <f t="shared" si="2"/>
        <v>0</v>
      </c>
      <c r="I80" s="98">
        <f t="shared" si="2"/>
        <v>0</v>
      </c>
      <c r="J80" s="98">
        <f t="shared" si="2"/>
        <v>0</v>
      </c>
      <c r="K80" s="98">
        <f t="shared" si="2"/>
        <v>0</v>
      </c>
      <c r="L80" s="98">
        <f t="shared" si="2"/>
        <v>0</v>
      </c>
      <c r="M80" s="98">
        <f t="shared" si="2"/>
        <v>0</v>
      </c>
      <c r="N80" s="98">
        <f t="shared" si="2"/>
        <v>0</v>
      </c>
      <c r="O80" s="98">
        <f t="shared" si="2"/>
        <v>0</v>
      </c>
      <c r="P80" s="98">
        <f t="shared" si="2"/>
        <v>0</v>
      </c>
      <c r="Q80" s="98">
        <f t="shared" si="2"/>
        <v>0</v>
      </c>
      <c r="R80" s="98">
        <f t="shared" si="2"/>
        <v>0</v>
      </c>
      <c r="S80" s="98">
        <f t="shared" si="2"/>
        <v>0</v>
      </c>
      <c r="T80" s="98">
        <f t="shared" si="2"/>
        <v>0</v>
      </c>
      <c r="U80" s="98">
        <f t="shared" si="2"/>
        <v>0</v>
      </c>
      <c r="V80" s="98">
        <f t="shared" si="2"/>
        <v>44</v>
      </c>
      <c r="W80" s="98">
        <f t="shared" si="2"/>
        <v>111</v>
      </c>
      <c r="X80" s="98">
        <f t="shared" si="2"/>
        <v>141</v>
      </c>
      <c r="Y80" s="98">
        <f t="shared" si="1"/>
        <v>208</v>
      </c>
      <c r="Z80" s="98">
        <f t="shared" si="1"/>
        <v>284</v>
      </c>
      <c r="AA80" s="98">
        <f t="shared" si="1"/>
        <v>298</v>
      </c>
      <c r="AB80" s="98">
        <f t="shared" si="1"/>
        <v>324</v>
      </c>
      <c r="AC80" s="98">
        <f t="shared" si="1"/>
        <v>392</v>
      </c>
      <c r="AD80" s="98">
        <f t="shared" si="1"/>
        <v>435</v>
      </c>
      <c r="AE80" s="98">
        <f t="shared" si="1"/>
        <v>459</v>
      </c>
      <c r="AF80" s="98">
        <f t="shared" si="1"/>
        <v>456</v>
      </c>
      <c r="AG80" s="98">
        <f t="shared" si="1"/>
        <v>523</v>
      </c>
    </row>
    <row r="81" spans="2:33" ht="12.75">
      <c r="B81" s="99" t="s">
        <v>14</v>
      </c>
      <c r="C81" s="98">
        <f t="shared" si="3"/>
        <v>201</v>
      </c>
      <c r="D81" s="98">
        <f t="shared" si="2"/>
        <v>195</v>
      </c>
      <c r="E81" s="98">
        <f t="shared" si="2"/>
        <v>200</v>
      </c>
      <c r="F81" s="98">
        <f t="shared" si="2"/>
        <v>225</v>
      </c>
      <c r="G81" s="98">
        <f t="shared" si="2"/>
        <v>244</v>
      </c>
      <c r="H81" s="98">
        <f t="shared" si="2"/>
        <v>257</v>
      </c>
      <c r="I81" s="98">
        <f t="shared" si="2"/>
        <v>279</v>
      </c>
      <c r="J81" s="98">
        <f t="shared" si="2"/>
        <v>259</v>
      </c>
      <c r="K81" s="98">
        <f t="shared" si="2"/>
        <v>331</v>
      </c>
      <c r="L81" s="98">
        <f t="shared" si="2"/>
        <v>317</v>
      </c>
      <c r="M81" s="98">
        <f t="shared" si="2"/>
        <v>348</v>
      </c>
      <c r="N81" s="98">
        <f t="shared" si="2"/>
        <v>335</v>
      </c>
      <c r="O81" s="98">
        <f t="shared" si="2"/>
        <v>324</v>
      </c>
      <c r="P81" s="98">
        <f t="shared" si="2"/>
        <v>336</v>
      </c>
      <c r="Q81" s="98">
        <f t="shared" si="2"/>
        <v>348</v>
      </c>
      <c r="R81" s="98">
        <f t="shared" si="2"/>
        <v>369</v>
      </c>
      <c r="S81" s="98">
        <f t="shared" si="2"/>
        <v>397</v>
      </c>
      <c r="T81" s="98">
        <f t="shared" si="2"/>
        <v>409</v>
      </c>
      <c r="U81" s="98">
        <f t="shared" si="2"/>
        <v>396</v>
      </c>
      <c r="V81" s="98">
        <f t="shared" si="2"/>
        <v>420</v>
      </c>
      <c r="W81" s="98">
        <f t="shared" si="2"/>
        <v>453</v>
      </c>
      <c r="X81" s="98">
        <f t="shared" si="2"/>
        <v>424</v>
      </c>
      <c r="Y81" s="98">
        <f t="shared" si="1"/>
        <v>463</v>
      </c>
      <c r="Z81" s="98">
        <f t="shared" si="1"/>
        <v>456</v>
      </c>
      <c r="AA81" s="98">
        <f t="shared" si="1"/>
        <v>445</v>
      </c>
      <c r="AB81" s="98">
        <f t="shared" si="1"/>
        <v>444</v>
      </c>
      <c r="AC81" s="98">
        <f t="shared" si="1"/>
        <v>447</v>
      </c>
      <c r="AD81" s="98">
        <f t="shared" si="1"/>
        <v>449</v>
      </c>
      <c r="AE81" s="98">
        <f t="shared" si="1"/>
        <v>460</v>
      </c>
      <c r="AF81" s="98">
        <f t="shared" si="1"/>
        <v>428</v>
      </c>
      <c r="AG81" s="98">
        <f t="shared" si="1"/>
        <v>464</v>
      </c>
    </row>
    <row r="82" spans="2:33" ht="12.75">
      <c r="B82" s="99" t="s">
        <v>15</v>
      </c>
      <c r="C82" s="98">
        <f t="shared" si="3"/>
        <v>18</v>
      </c>
      <c r="D82" s="98">
        <f t="shared" si="2"/>
        <v>18</v>
      </c>
      <c r="E82" s="98">
        <f t="shared" si="2"/>
        <v>16</v>
      </c>
      <c r="F82" s="98">
        <f t="shared" si="2"/>
        <v>25</v>
      </c>
      <c r="G82" s="98">
        <f t="shared" si="2"/>
        <v>29</v>
      </c>
      <c r="H82" s="98">
        <f t="shared" si="2"/>
        <v>32</v>
      </c>
      <c r="I82" s="98">
        <f t="shared" si="2"/>
        <v>36</v>
      </c>
      <c r="J82" s="98">
        <f t="shared" si="2"/>
        <v>28</v>
      </c>
      <c r="K82" s="98">
        <f t="shared" si="2"/>
        <v>34</v>
      </c>
      <c r="L82" s="98">
        <f t="shared" si="2"/>
        <v>28</v>
      </c>
      <c r="M82" s="98">
        <f t="shared" si="2"/>
        <v>32</v>
      </c>
      <c r="N82" s="98">
        <f t="shared" si="2"/>
        <v>32</v>
      </c>
      <c r="O82" s="98">
        <f t="shared" si="2"/>
        <v>37</v>
      </c>
      <c r="P82" s="98">
        <f t="shared" si="2"/>
        <v>44</v>
      </c>
      <c r="Q82" s="98">
        <f t="shared" si="2"/>
        <v>44</v>
      </c>
      <c r="R82" s="98">
        <f t="shared" si="2"/>
        <v>44</v>
      </c>
      <c r="S82" s="98">
        <f t="shared" si="2"/>
        <v>47</v>
      </c>
      <c r="T82" s="98">
        <f t="shared" si="2"/>
        <v>46</v>
      </c>
      <c r="U82" s="98">
        <f t="shared" si="2"/>
        <v>50</v>
      </c>
      <c r="V82" s="98">
        <f t="shared" si="2"/>
        <v>43</v>
      </c>
      <c r="W82" s="98">
        <f t="shared" si="2"/>
        <v>55</v>
      </c>
      <c r="X82" s="98">
        <f t="shared" si="2"/>
        <v>52</v>
      </c>
      <c r="Y82" s="98">
        <f aca="true" t="shared" si="4" ref="Y82:AG88">IF(ISERROR(Y51),0,Y51)</f>
        <v>57</v>
      </c>
      <c r="Z82" s="98">
        <f t="shared" si="4"/>
        <v>56</v>
      </c>
      <c r="AA82" s="98">
        <f t="shared" si="4"/>
        <v>53</v>
      </c>
      <c r="AB82" s="98">
        <f t="shared" si="4"/>
        <v>55</v>
      </c>
      <c r="AC82" s="98">
        <f t="shared" si="4"/>
        <v>59</v>
      </c>
      <c r="AD82" s="98">
        <f t="shared" si="4"/>
        <v>60</v>
      </c>
      <c r="AE82" s="98">
        <f t="shared" si="4"/>
        <v>64</v>
      </c>
      <c r="AF82" s="98">
        <f t="shared" si="4"/>
        <v>59</v>
      </c>
      <c r="AG82" s="98">
        <f t="shared" si="4"/>
        <v>72</v>
      </c>
    </row>
    <row r="83" spans="2:33" ht="12.75">
      <c r="B83" s="99" t="s">
        <v>16</v>
      </c>
      <c r="C83" s="98">
        <f t="shared" si="3"/>
        <v>0</v>
      </c>
      <c r="D83" s="98">
        <f t="shared" si="2"/>
        <v>0</v>
      </c>
      <c r="E83" s="98">
        <f t="shared" si="2"/>
        <v>0</v>
      </c>
      <c r="F83" s="98">
        <f t="shared" si="2"/>
        <v>0</v>
      </c>
      <c r="G83" s="98">
        <f t="shared" si="2"/>
        <v>0</v>
      </c>
      <c r="H83" s="98">
        <f t="shared" si="2"/>
        <v>0</v>
      </c>
      <c r="I83" s="98">
        <f t="shared" si="2"/>
        <v>6</v>
      </c>
      <c r="J83" s="98">
        <f t="shared" si="2"/>
        <v>43</v>
      </c>
      <c r="K83" s="98">
        <f t="shared" si="2"/>
        <v>120</v>
      </c>
      <c r="L83" s="98">
        <f t="shared" si="2"/>
        <v>155</v>
      </c>
      <c r="M83" s="98">
        <f t="shared" si="2"/>
        <v>193</v>
      </c>
      <c r="N83" s="98">
        <f t="shared" si="2"/>
        <v>216</v>
      </c>
      <c r="O83" s="98">
        <f t="shared" si="2"/>
        <v>258</v>
      </c>
      <c r="P83" s="98">
        <f t="shared" si="2"/>
        <v>260</v>
      </c>
      <c r="Q83" s="98">
        <f t="shared" si="2"/>
        <v>271</v>
      </c>
      <c r="R83" s="98">
        <f t="shared" si="2"/>
        <v>279</v>
      </c>
      <c r="S83" s="98">
        <f t="shared" si="2"/>
        <v>304</v>
      </c>
      <c r="T83" s="98">
        <f t="shared" si="2"/>
        <v>331</v>
      </c>
      <c r="U83" s="98">
        <f t="shared" si="2"/>
        <v>342</v>
      </c>
      <c r="V83" s="98">
        <f t="shared" si="2"/>
        <v>360</v>
      </c>
      <c r="W83" s="98">
        <f t="shared" si="2"/>
        <v>365</v>
      </c>
      <c r="X83" s="98">
        <f t="shared" si="2"/>
        <v>363</v>
      </c>
      <c r="Y83" s="98">
        <f t="shared" si="4"/>
        <v>375</v>
      </c>
      <c r="Z83" s="98">
        <f t="shared" si="4"/>
        <v>363</v>
      </c>
      <c r="AA83" s="98">
        <f t="shared" si="4"/>
        <v>368</v>
      </c>
      <c r="AB83" s="98">
        <f t="shared" si="4"/>
        <v>365</v>
      </c>
      <c r="AC83" s="98">
        <f t="shared" si="4"/>
        <v>327</v>
      </c>
      <c r="AD83" s="98">
        <f t="shared" si="4"/>
        <v>374</v>
      </c>
      <c r="AE83" s="98">
        <f t="shared" si="4"/>
        <v>398</v>
      </c>
      <c r="AF83" s="98">
        <f t="shared" si="4"/>
        <v>371</v>
      </c>
      <c r="AG83" s="98">
        <f t="shared" si="4"/>
        <v>398</v>
      </c>
    </row>
    <row r="84" spans="2:33" ht="12.75">
      <c r="B84" s="99" t="s">
        <v>17</v>
      </c>
      <c r="C84" s="98">
        <f t="shared" si="3"/>
        <v>0</v>
      </c>
      <c r="D84" s="98">
        <f t="shared" si="2"/>
        <v>0</v>
      </c>
      <c r="E84" s="98">
        <f t="shared" si="2"/>
        <v>0</v>
      </c>
      <c r="F84" s="98">
        <f t="shared" si="2"/>
        <v>0</v>
      </c>
      <c r="G84" s="98">
        <f t="shared" si="2"/>
        <v>0</v>
      </c>
      <c r="H84" s="98">
        <f t="shared" si="2"/>
        <v>0</v>
      </c>
      <c r="I84" s="98">
        <f t="shared" si="2"/>
        <v>0</v>
      </c>
      <c r="J84" s="98">
        <f t="shared" si="2"/>
        <v>0</v>
      </c>
      <c r="K84" s="98">
        <f t="shared" si="2"/>
        <v>0</v>
      </c>
      <c r="L84" s="98">
        <f t="shared" si="2"/>
        <v>0</v>
      </c>
      <c r="M84" s="98">
        <f t="shared" si="2"/>
        <v>0</v>
      </c>
      <c r="N84" s="98">
        <f t="shared" si="2"/>
        <v>0</v>
      </c>
      <c r="O84" s="98">
        <f t="shared" si="2"/>
        <v>0</v>
      </c>
      <c r="P84" s="98">
        <f t="shared" si="2"/>
        <v>0</v>
      </c>
      <c r="Q84" s="98">
        <f t="shared" si="2"/>
        <v>0</v>
      </c>
      <c r="R84" s="98">
        <f t="shared" si="2"/>
        <v>0</v>
      </c>
      <c r="S84" s="98">
        <f t="shared" si="2"/>
        <v>0</v>
      </c>
      <c r="T84" s="98">
        <f t="shared" si="2"/>
        <v>0</v>
      </c>
      <c r="U84" s="98">
        <f t="shared" si="2"/>
        <v>3</v>
      </c>
      <c r="V84" s="98">
        <f t="shared" si="2"/>
        <v>10</v>
      </c>
      <c r="W84" s="98">
        <f t="shared" si="2"/>
        <v>23</v>
      </c>
      <c r="X84" s="98">
        <f t="shared" si="2"/>
        <v>33</v>
      </c>
      <c r="Y84" s="98">
        <f t="shared" si="4"/>
        <v>46</v>
      </c>
      <c r="Z84" s="98">
        <f t="shared" si="4"/>
        <v>52</v>
      </c>
      <c r="AA84" s="98">
        <f t="shared" si="4"/>
        <v>69</v>
      </c>
      <c r="AB84" s="98">
        <f t="shared" si="4"/>
        <v>60</v>
      </c>
      <c r="AC84" s="98">
        <f t="shared" si="4"/>
        <v>76</v>
      </c>
      <c r="AD84" s="98">
        <f t="shared" si="4"/>
        <v>95</v>
      </c>
      <c r="AE84" s="98">
        <f t="shared" si="4"/>
        <v>101</v>
      </c>
      <c r="AF84" s="98">
        <f t="shared" si="4"/>
        <v>105</v>
      </c>
      <c r="AG84" s="98">
        <f t="shared" si="4"/>
        <v>120</v>
      </c>
    </row>
    <row r="85" spans="2:33" ht="12.75">
      <c r="B85" s="99" t="s">
        <v>18</v>
      </c>
      <c r="C85" s="98">
        <f t="shared" si="3"/>
        <v>0</v>
      </c>
      <c r="D85" s="98">
        <f t="shared" si="2"/>
        <v>0</v>
      </c>
      <c r="E85" s="98">
        <f t="shared" si="2"/>
        <v>0</v>
      </c>
      <c r="F85" s="98">
        <f t="shared" si="2"/>
        <v>0</v>
      </c>
      <c r="G85" s="98">
        <f t="shared" si="2"/>
        <v>0</v>
      </c>
      <c r="H85" s="98">
        <f t="shared" si="2"/>
        <v>0</v>
      </c>
      <c r="I85" s="98">
        <f t="shared" si="2"/>
        <v>0</v>
      </c>
      <c r="J85" s="98">
        <f t="shared" si="2"/>
        <v>0</v>
      </c>
      <c r="K85" s="98">
        <f t="shared" si="2"/>
        <v>0</v>
      </c>
      <c r="L85" s="98">
        <f t="shared" si="2"/>
        <v>0</v>
      </c>
      <c r="M85" s="98">
        <f t="shared" si="2"/>
        <v>0</v>
      </c>
      <c r="N85" s="98">
        <f t="shared" si="2"/>
        <v>0</v>
      </c>
      <c r="O85" s="98">
        <f t="shared" si="2"/>
        <v>0</v>
      </c>
      <c r="P85" s="98">
        <f t="shared" si="2"/>
        <v>0</v>
      </c>
      <c r="Q85" s="98">
        <f t="shared" si="2"/>
        <v>0</v>
      </c>
      <c r="R85" s="98">
        <f t="shared" si="2"/>
        <v>0</v>
      </c>
      <c r="S85" s="98">
        <f t="shared" si="2"/>
        <v>0</v>
      </c>
      <c r="T85" s="98">
        <f t="shared" si="2"/>
        <v>0</v>
      </c>
      <c r="U85" s="98">
        <f t="shared" si="2"/>
        <v>2</v>
      </c>
      <c r="V85" s="98">
        <f t="shared" si="2"/>
        <v>7</v>
      </c>
      <c r="W85" s="98">
        <f t="shared" si="2"/>
        <v>15</v>
      </c>
      <c r="X85" s="98">
        <f t="shared" si="2"/>
        <v>20</v>
      </c>
      <c r="Y85" s="98">
        <f t="shared" si="4"/>
        <v>34</v>
      </c>
      <c r="Z85" s="98">
        <f t="shared" si="4"/>
        <v>38</v>
      </c>
      <c r="AA85" s="98">
        <f t="shared" si="4"/>
        <v>44</v>
      </c>
      <c r="AB85" s="98">
        <f t="shared" si="4"/>
        <v>49</v>
      </c>
      <c r="AC85" s="98">
        <f t="shared" si="4"/>
        <v>51</v>
      </c>
      <c r="AD85" s="98">
        <f t="shared" si="4"/>
        <v>71</v>
      </c>
      <c r="AE85" s="98">
        <f t="shared" si="4"/>
        <v>61</v>
      </c>
      <c r="AF85" s="98">
        <f t="shared" si="4"/>
        <v>59</v>
      </c>
      <c r="AG85" s="98">
        <f t="shared" si="4"/>
        <v>71</v>
      </c>
    </row>
    <row r="86" spans="2:33" ht="12.75">
      <c r="B86" s="99" t="s">
        <v>19</v>
      </c>
      <c r="C86" s="98">
        <f t="shared" si="3"/>
        <v>22</v>
      </c>
      <c r="D86" s="98">
        <f t="shared" si="2"/>
        <v>26</v>
      </c>
      <c r="E86" s="98">
        <f t="shared" si="2"/>
        <v>23</v>
      </c>
      <c r="F86" s="98">
        <f t="shared" si="2"/>
        <v>16</v>
      </c>
      <c r="G86" s="98">
        <f t="shared" si="2"/>
        <v>17</v>
      </c>
      <c r="H86" s="98">
        <f t="shared" si="2"/>
        <v>19</v>
      </c>
      <c r="I86" s="98">
        <f t="shared" si="2"/>
        <v>15</v>
      </c>
      <c r="J86" s="98">
        <f t="shared" si="2"/>
        <v>15</v>
      </c>
      <c r="K86" s="98">
        <f t="shared" si="2"/>
        <v>16</v>
      </c>
      <c r="L86" s="98">
        <f t="shared" si="2"/>
        <v>16</v>
      </c>
      <c r="M86" s="98">
        <f t="shared" si="2"/>
        <v>19</v>
      </c>
      <c r="N86" s="98">
        <f t="shared" si="2"/>
        <v>20</v>
      </c>
      <c r="O86" s="98">
        <f t="shared" si="2"/>
        <v>23</v>
      </c>
      <c r="P86" s="98">
        <f t="shared" si="2"/>
        <v>23</v>
      </c>
      <c r="Q86" s="98">
        <f t="shared" si="2"/>
        <v>22</v>
      </c>
      <c r="R86" s="98">
        <f t="shared" si="2"/>
        <v>22</v>
      </c>
      <c r="S86" s="98">
        <f t="shared" si="2"/>
        <v>23</v>
      </c>
      <c r="T86" s="98">
        <f t="shared" si="2"/>
        <v>24</v>
      </c>
      <c r="U86" s="98">
        <f t="shared" si="2"/>
        <v>18</v>
      </c>
      <c r="V86" s="98">
        <f t="shared" si="2"/>
        <v>16</v>
      </c>
      <c r="W86" s="98">
        <f t="shared" si="2"/>
        <v>16</v>
      </c>
      <c r="X86" s="98">
        <f t="shared" si="2"/>
        <v>17</v>
      </c>
      <c r="Y86" s="98">
        <f t="shared" si="4"/>
        <v>20</v>
      </c>
      <c r="Z86" s="98">
        <f t="shared" si="4"/>
        <v>20</v>
      </c>
      <c r="AA86" s="98">
        <f t="shared" si="4"/>
        <v>21</v>
      </c>
      <c r="AB86" s="98">
        <f t="shared" si="4"/>
        <v>14</v>
      </c>
      <c r="AC86" s="98">
        <f t="shared" si="4"/>
        <v>12</v>
      </c>
      <c r="AD86" s="98">
        <f t="shared" si="4"/>
        <v>14</v>
      </c>
      <c r="AE86" s="98">
        <f t="shared" si="4"/>
        <v>17</v>
      </c>
      <c r="AF86" s="98">
        <f t="shared" si="4"/>
        <v>11</v>
      </c>
      <c r="AG86" s="98">
        <f t="shared" si="4"/>
        <v>14</v>
      </c>
    </row>
    <row r="87" spans="2:33" ht="12.75">
      <c r="B87" s="99" t="s">
        <v>20</v>
      </c>
      <c r="C87" s="98">
        <f t="shared" si="3"/>
        <v>91</v>
      </c>
      <c r="D87" s="98">
        <f t="shared" si="2"/>
        <v>93</v>
      </c>
      <c r="E87" s="98">
        <f t="shared" si="2"/>
        <v>92</v>
      </c>
      <c r="F87" s="98">
        <f t="shared" si="2"/>
        <v>91</v>
      </c>
      <c r="G87" s="98">
        <f t="shared" si="2"/>
        <v>96</v>
      </c>
      <c r="H87" s="98">
        <f t="shared" si="2"/>
        <v>111</v>
      </c>
      <c r="I87" s="98">
        <f t="shared" si="2"/>
        <v>99</v>
      </c>
      <c r="J87" s="98">
        <f t="shared" si="2"/>
        <v>80</v>
      </c>
      <c r="K87" s="98">
        <f t="shared" si="2"/>
        <v>112</v>
      </c>
      <c r="L87" s="98">
        <f t="shared" si="2"/>
        <v>106</v>
      </c>
      <c r="M87" s="98">
        <f t="shared" si="2"/>
        <v>105</v>
      </c>
      <c r="N87" s="98">
        <f t="shared" si="2"/>
        <v>111</v>
      </c>
      <c r="O87" s="98">
        <f t="shared" si="2"/>
        <v>120</v>
      </c>
      <c r="P87" s="98">
        <f t="shared" si="2"/>
        <v>103</v>
      </c>
      <c r="Q87" s="98">
        <f t="shared" si="2"/>
        <v>101</v>
      </c>
      <c r="R87" s="98">
        <f t="shared" si="2"/>
        <v>108</v>
      </c>
      <c r="S87" s="98">
        <f t="shared" si="2"/>
        <v>108</v>
      </c>
      <c r="T87" s="98">
        <f t="shared" si="2"/>
        <v>89</v>
      </c>
      <c r="U87" s="98">
        <f t="shared" si="2"/>
        <v>108</v>
      </c>
      <c r="V87" s="98">
        <f t="shared" si="2"/>
        <v>88</v>
      </c>
      <c r="W87" s="98">
        <f t="shared" si="2"/>
        <v>108</v>
      </c>
      <c r="X87" s="98">
        <f t="shared" si="2"/>
        <v>85</v>
      </c>
      <c r="Y87" s="98">
        <f t="shared" si="4"/>
        <v>93</v>
      </c>
      <c r="Z87" s="98">
        <f t="shared" si="4"/>
        <v>88</v>
      </c>
      <c r="AA87" s="98">
        <f t="shared" si="4"/>
        <v>93</v>
      </c>
      <c r="AB87" s="98">
        <f t="shared" si="4"/>
        <v>89</v>
      </c>
      <c r="AC87" s="98">
        <f t="shared" si="4"/>
        <v>95</v>
      </c>
      <c r="AD87" s="98">
        <f t="shared" si="4"/>
        <v>87</v>
      </c>
      <c r="AE87" s="98">
        <f t="shared" si="4"/>
        <v>81</v>
      </c>
      <c r="AF87" s="98">
        <f t="shared" si="4"/>
        <v>72</v>
      </c>
      <c r="AG87" s="98">
        <f t="shared" si="4"/>
        <v>98</v>
      </c>
    </row>
    <row r="88" spans="2:33" ht="12.75">
      <c r="B88" s="99" t="s">
        <v>21</v>
      </c>
      <c r="C88" s="98">
        <f t="shared" si="3"/>
        <v>30</v>
      </c>
      <c r="D88" s="98">
        <f t="shared" si="2"/>
        <v>27</v>
      </c>
      <c r="E88" s="98">
        <f t="shared" si="2"/>
        <v>33</v>
      </c>
      <c r="F88" s="98">
        <f t="shared" si="2"/>
        <v>27</v>
      </c>
      <c r="G88" s="98">
        <f t="shared" si="2"/>
        <v>34</v>
      </c>
      <c r="H88" s="98">
        <f t="shared" si="2"/>
        <v>35</v>
      </c>
      <c r="I88" s="98">
        <f t="shared" si="2"/>
        <v>31</v>
      </c>
      <c r="J88" s="98">
        <f t="shared" si="2"/>
        <v>34</v>
      </c>
      <c r="K88" s="98">
        <f t="shared" si="2"/>
        <v>37</v>
      </c>
      <c r="L88" s="98">
        <f t="shared" si="2"/>
        <v>36</v>
      </c>
      <c r="M88" s="98">
        <f t="shared" si="2"/>
        <v>39</v>
      </c>
      <c r="N88" s="98">
        <f t="shared" si="2"/>
        <v>38</v>
      </c>
      <c r="O88" s="98">
        <f t="shared" si="2"/>
        <v>32</v>
      </c>
      <c r="P88" s="98">
        <f t="shared" si="2"/>
        <v>34</v>
      </c>
      <c r="Q88" s="98">
        <f t="shared" si="2"/>
        <v>33</v>
      </c>
      <c r="R88" s="98">
        <f t="shared" si="2"/>
        <v>33</v>
      </c>
      <c r="S88" s="98">
        <f t="shared" si="2"/>
        <v>39</v>
      </c>
      <c r="T88" s="98">
        <f t="shared" si="2"/>
        <v>30</v>
      </c>
      <c r="U88" s="98">
        <f t="shared" si="2"/>
        <v>35</v>
      </c>
      <c r="V88" s="98">
        <f t="shared" si="2"/>
        <v>36</v>
      </c>
      <c r="W88" s="98">
        <f t="shared" si="2"/>
        <v>33</v>
      </c>
      <c r="X88" s="98">
        <f t="shared" si="2"/>
        <v>30</v>
      </c>
      <c r="Y88" s="98">
        <f t="shared" si="4"/>
        <v>32</v>
      </c>
      <c r="Z88" s="98">
        <f t="shared" si="4"/>
        <v>32</v>
      </c>
      <c r="AA88" s="98">
        <f t="shared" si="4"/>
        <v>30</v>
      </c>
      <c r="AB88" s="98">
        <f t="shared" si="4"/>
        <v>35</v>
      </c>
      <c r="AC88" s="98">
        <f t="shared" si="4"/>
        <v>29</v>
      </c>
      <c r="AD88" s="98">
        <f t="shared" si="4"/>
        <v>33</v>
      </c>
      <c r="AE88" s="98">
        <f t="shared" si="4"/>
        <v>30</v>
      </c>
      <c r="AF88" s="98">
        <f t="shared" si="4"/>
        <v>29</v>
      </c>
      <c r="AG88" s="98">
        <f t="shared" si="4"/>
        <v>32</v>
      </c>
    </row>
    <row r="89" spans="2:33" ht="12.75">
      <c r="B89" s="99" t="s">
        <v>22</v>
      </c>
      <c r="C89" s="98">
        <f t="shared" si="3"/>
        <v>16</v>
      </c>
      <c r="D89" s="98">
        <f t="shared" si="2"/>
        <v>14</v>
      </c>
      <c r="E89" s="98">
        <f t="shared" si="2"/>
        <v>15</v>
      </c>
      <c r="F89" s="98">
        <f t="shared" si="2"/>
        <v>10</v>
      </c>
      <c r="G89" s="98">
        <f t="shared" si="2"/>
        <v>12</v>
      </c>
      <c r="H89" s="98">
        <f t="shared" si="2"/>
        <v>12</v>
      </c>
      <c r="I89" s="98">
        <f t="shared" si="2"/>
        <v>9</v>
      </c>
      <c r="J89" s="98">
        <f t="shared" si="2"/>
        <v>9</v>
      </c>
      <c r="K89" s="98">
        <f t="shared" si="2"/>
        <v>17</v>
      </c>
      <c r="L89" s="98">
        <f t="shared" si="2"/>
        <v>14</v>
      </c>
      <c r="M89" s="98">
        <f t="shared" si="2"/>
        <v>14</v>
      </c>
      <c r="N89" s="98">
        <f t="shared" si="2"/>
        <v>12</v>
      </c>
      <c r="O89" s="98">
        <f t="shared" si="2"/>
        <v>16</v>
      </c>
      <c r="P89" s="98">
        <f t="shared" si="2"/>
        <v>12</v>
      </c>
      <c r="Q89" s="98">
        <f t="shared" si="2"/>
        <v>15</v>
      </c>
      <c r="R89" s="98">
        <f t="shared" si="2"/>
        <v>12</v>
      </c>
      <c r="S89" s="98">
        <f aca="true" t="shared" si="5" ref="D89:X94">IF(ISERROR(S58),0,S58)</f>
        <v>14</v>
      </c>
      <c r="T89" s="98">
        <f t="shared" si="5"/>
        <v>11</v>
      </c>
      <c r="U89" s="98">
        <f t="shared" si="5"/>
        <v>12</v>
      </c>
      <c r="V89" s="98">
        <f t="shared" si="5"/>
        <v>10</v>
      </c>
      <c r="W89" s="98">
        <f t="shared" si="5"/>
        <v>15</v>
      </c>
      <c r="X89" s="98">
        <f t="shared" si="5"/>
        <v>9</v>
      </c>
      <c r="Y89" s="98">
        <f aca="true" t="shared" si="6" ref="Y89:AG89">IF(ISERROR(Y58),0,Y58)</f>
        <v>11</v>
      </c>
      <c r="Z89" s="98">
        <f t="shared" si="6"/>
        <v>11</v>
      </c>
      <c r="AA89" s="98">
        <f t="shared" si="6"/>
        <v>10</v>
      </c>
      <c r="AB89" s="98">
        <f t="shared" si="6"/>
        <v>8</v>
      </c>
      <c r="AC89" s="98">
        <f t="shared" si="6"/>
        <v>7</v>
      </c>
      <c r="AD89" s="98">
        <f t="shared" si="6"/>
        <v>8</v>
      </c>
      <c r="AE89" s="98">
        <f t="shared" si="6"/>
        <v>8</v>
      </c>
      <c r="AF89" s="98">
        <f t="shared" si="6"/>
        <v>6</v>
      </c>
      <c r="AG89" s="98">
        <f t="shared" si="6"/>
        <v>10</v>
      </c>
    </row>
    <row r="90" spans="2:33" ht="12.75">
      <c r="B90" s="99" t="s">
        <v>23</v>
      </c>
      <c r="C90" s="98">
        <f t="shared" si="3"/>
        <v>0</v>
      </c>
      <c r="D90" s="98">
        <f t="shared" si="5"/>
        <v>0</v>
      </c>
      <c r="E90" s="98">
        <f t="shared" si="5"/>
        <v>0</v>
      </c>
      <c r="F90" s="98">
        <f t="shared" si="5"/>
        <v>0</v>
      </c>
      <c r="G90" s="98">
        <f t="shared" si="5"/>
        <v>0</v>
      </c>
      <c r="H90" s="98">
        <f t="shared" si="5"/>
        <v>0</v>
      </c>
      <c r="I90" s="98">
        <f t="shared" si="5"/>
        <v>0</v>
      </c>
      <c r="J90" s="98">
        <f t="shared" si="5"/>
        <v>0</v>
      </c>
      <c r="K90" s="98">
        <f t="shared" si="5"/>
        <v>0</v>
      </c>
      <c r="L90" s="98">
        <f t="shared" si="5"/>
        <v>0</v>
      </c>
      <c r="M90" s="98">
        <f t="shared" si="5"/>
        <v>0</v>
      </c>
      <c r="N90" s="98">
        <f t="shared" si="5"/>
        <v>0</v>
      </c>
      <c r="O90" s="98">
        <f t="shared" si="5"/>
        <v>0</v>
      </c>
      <c r="P90" s="98">
        <f t="shared" si="5"/>
        <v>0</v>
      </c>
      <c r="Q90" s="98">
        <f t="shared" si="5"/>
        <v>0</v>
      </c>
      <c r="R90" s="98">
        <f t="shared" si="5"/>
        <v>0</v>
      </c>
      <c r="S90" s="98">
        <f t="shared" si="5"/>
        <v>0</v>
      </c>
      <c r="T90" s="98">
        <f t="shared" si="5"/>
        <v>0</v>
      </c>
      <c r="U90" s="98">
        <f t="shared" si="5"/>
        <v>0</v>
      </c>
      <c r="V90" s="98">
        <f t="shared" si="5"/>
        <v>0</v>
      </c>
      <c r="W90" s="98">
        <f t="shared" si="5"/>
        <v>18</v>
      </c>
      <c r="X90" s="98">
        <f t="shared" si="5"/>
        <v>81</v>
      </c>
      <c r="Y90" s="98">
        <f aca="true" t="shared" si="7" ref="Y90:AG90">IF(ISERROR(Y59),0,Y59)</f>
        <v>132</v>
      </c>
      <c r="Z90" s="98">
        <f t="shared" si="7"/>
        <v>188</v>
      </c>
      <c r="AA90" s="98">
        <f t="shared" si="7"/>
        <v>247</v>
      </c>
      <c r="AB90" s="98">
        <f t="shared" si="7"/>
        <v>278</v>
      </c>
      <c r="AC90" s="98">
        <f t="shared" si="7"/>
        <v>251</v>
      </c>
      <c r="AD90" s="98">
        <f t="shared" si="7"/>
        <v>301</v>
      </c>
      <c r="AE90" s="98">
        <f t="shared" si="7"/>
        <v>330</v>
      </c>
      <c r="AF90" s="98">
        <f t="shared" si="7"/>
        <v>297</v>
      </c>
      <c r="AG90" s="98">
        <f t="shared" si="7"/>
        <v>367</v>
      </c>
    </row>
    <row r="91" spans="2:33" ht="12.75">
      <c r="B91" s="99" t="s">
        <v>24</v>
      </c>
      <c r="C91" s="98">
        <f t="shared" si="3"/>
        <v>894</v>
      </c>
      <c r="D91" s="98">
        <f t="shared" si="5"/>
        <v>831</v>
      </c>
      <c r="E91" s="98">
        <f t="shared" si="5"/>
        <v>910</v>
      </c>
      <c r="F91" s="98">
        <f t="shared" si="5"/>
        <v>932</v>
      </c>
      <c r="G91" s="98">
        <f t="shared" si="5"/>
        <v>959</v>
      </c>
      <c r="H91" s="98">
        <f t="shared" si="5"/>
        <v>946</v>
      </c>
      <c r="I91" s="98">
        <f t="shared" si="5"/>
        <v>952</v>
      </c>
      <c r="J91" s="98">
        <f t="shared" si="5"/>
        <v>844</v>
      </c>
      <c r="K91" s="98">
        <f t="shared" si="5"/>
        <v>1005</v>
      </c>
      <c r="L91" s="98">
        <f t="shared" si="5"/>
        <v>960</v>
      </c>
      <c r="M91" s="98">
        <f t="shared" si="5"/>
        <v>970</v>
      </c>
      <c r="N91" s="98">
        <f t="shared" si="5"/>
        <v>981</v>
      </c>
      <c r="O91" s="98">
        <f t="shared" si="5"/>
        <v>939</v>
      </c>
      <c r="P91" s="98">
        <f t="shared" si="5"/>
        <v>907</v>
      </c>
      <c r="Q91" s="98">
        <f t="shared" si="5"/>
        <v>907</v>
      </c>
      <c r="R91" s="98">
        <f t="shared" si="5"/>
        <v>937</v>
      </c>
      <c r="S91" s="98">
        <f t="shared" si="5"/>
        <v>964</v>
      </c>
      <c r="T91" s="98">
        <f t="shared" si="5"/>
        <v>956</v>
      </c>
      <c r="U91" s="98">
        <f t="shared" si="5"/>
        <v>947</v>
      </c>
      <c r="V91" s="98">
        <f t="shared" si="5"/>
        <v>913</v>
      </c>
      <c r="W91" s="98">
        <f t="shared" si="5"/>
        <v>964</v>
      </c>
      <c r="X91" s="98">
        <f t="shared" si="5"/>
        <v>864</v>
      </c>
      <c r="Y91" s="98">
        <f aca="true" t="shared" si="8" ref="Y91:AG91">IF(ISERROR(Y60),0,Y60)</f>
        <v>893</v>
      </c>
      <c r="Z91" s="98">
        <f t="shared" si="8"/>
        <v>876</v>
      </c>
      <c r="AA91" s="98">
        <f t="shared" si="8"/>
        <v>741</v>
      </c>
      <c r="AB91" s="98">
        <f t="shared" si="8"/>
        <v>729</v>
      </c>
      <c r="AC91" s="98">
        <f t="shared" si="8"/>
        <v>701</v>
      </c>
      <c r="AD91" s="98">
        <f t="shared" si="8"/>
        <v>708</v>
      </c>
      <c r="AE91" s="98">
        <f t="shared" si="8"/>
        <v>659</v>
      </c>
      <c r="AF91" s="98">
        <f t="shared" si="8"/>
        <v>623</v>
      </c>
      <c r="AG91" s="98">
        <f t="shared" si="8"/>
        <v>647</v>
      </c>
    </row>
    <row r="92" spans="2:33" ht="12.75">
      <c r="B92" s="99" t="s">
        <v>25</v>
      </c>
      <c r="C92" s="98">
        <f t="shared" si="3"/>
        <v>643</v>
      </c>
      <c r="D92" s="98">
        <f t="shared" si="5"/>
        <v>593</v>
      </c>
      <c r="E92" s="98">
        <f t="shared" si="5"/>
        <v>617</v>
      </c>
      <c r="F92" s="98">
        <f t="shared" si="5"/>
        <v>607</v>
      </c>
      <c r="G92" s="98">
        <f t="shared" si="5"/>
        <v>638</v>
      </c>
      <c r="H92" s="98">
        <f t="shared" si="5"/>
        <v>624</v>
      </c>
      <c r="I92" s="98">
        <f t="shared" si="5"/>
        <v>614</v>
      </c>
      <c r="J92" s="98">
        <f t="shared" si="5"/>
        <v>587</v>
      </c>
      <c r="K92" s="98">
        <f t="shared" si="5"/>
        <v>709</v>
      </c>
      <c r="L92" s="98">
        <f t="shared" si="5"/>
        <v>629</v>
      </c>
      <c r="M92" s="98">
        <f t="shared" si="5"/>
        <v>668</v>
      </c>
      <c r="N92" s="98">
        <f t="shared" si="5"/>
        <v>624</v>
      </c>
      <c r="O92" s="98">
        <f t="shared" si="5"/>
        <v>617</v>
      </c>
      <c r="P92" s="98">
        <f t="shared" si="5"/>
        <v>596</v>
      </c>
      <c r="Q92" s="98">
        <f t="shared" si="5"/>
        <v>640</v>
      </c>
      <c r="R92" s="98">
        <f t="shared" si="5"/>
        <v>644</v>
      </c>
      <c r="S92" s="98">
        <f t="shared" si="5"/>
        <v>611</v>
      </c>
      <c r="T92" s="98">
        <f t="shared" si="5"/>
        <v>642</v>
      </c>
      <c r="U92" s="98">
        <f t="shared" si="5"/>
        <v>613</v>
      </c>
      <c r="V92" s="98">
        <f t="shared" si="5"/>
        <v>600</v>
      </c>
      <c r="W92" s="98">
        <f t="shared" si="5"/>
        <v>649</v>
      </c>
      <c r="X92" s="98">
        <f t="shared" si="5"/>
        <v>584</v>
      </c>
      <c r="Y92" s="98">
        <f aca="true" t="shared" si="9" ref="Y92:AG92">IF(ISERROR(Y61),0,Y61)</f>
        <v>636</v>
      </c>
      <c r="Z92" s="98">
        <f t="shared" si="9"/>
        <v>616</v>
      </c>
      <c r="AA92" s="98">
        <f t="shared" si="9"/>
        <v>543</v>
      </c>
      <c r="AB92" s="98">
        <f t="shared" si="9"/>
        <v>558</v>
      </c>
      <c r="AC92" s="98">
        <f t="shared" si="9"/>
        <v>555</v>
      </c>
      <c r="AD92" s="98">
        <f t="shared" si="9"/>
        <v>560</v>
      </c>
      <c r="AE92" s="98">
        <f t="shared" si="9"/>
        <v>563</v>
      </c>
      <c r="AF92" s="98">
        <f t="shared" si="9"/>
        <v>542</v>
      </c>
      <c r="AG92" s="98">
        <f t="shared" si="9"/>
        <v>586</v>
      </c>
    </row>
    <row r="93" spans="2:33" ht="12.75">
      <c r="B93" s="99" t="s">
        <v>26</v>
      </c>
      <c r="C93" s="98">
        <f t="shared" si="3"/>
        <v>186</v>
      </c>
      <c r="D93" s="98">
        <f t="shared" si="5"/>
        <v>167</v>
      </c>
      <c r="E93" s="98">
        <f t="shared" si="5"/>
        <v>181</v>
      </c>
      <c r="F93" s="98">
        <f t="shared" si="5"/>
        <v>174</v>
      </c>
      <c r="G93" s="98">
        <f t="shared" si="5"/>
        <v>190</v>
      </c>
      <c r="H93" s="98">
        <f t="shared" si="5"/>
        <v>188</v>
      </c>
      <c r="I93" s="98">
        <f t="shared" si="5"/>
        <v>194</v>
      </c>
      <c r="J93" s="98">
        <f t="shared" si="5"/>
        <v>168</v>
      </c>
      <c r="K93" s="98">
        <f t="shared" si="5"/>
        <v>206</v>
      </c>
      <c r="L93" s="98">
        <f t="shared" si="5"/>
        <v>177</v>
      </c>
      <c r="M93" s="98">
        <f t="shared" si="5"/>
        <v>182</v>
      </c>
      <c r="N93" s="98">
        <f t="shared" si="5"/>
        <v>183</v>
      </c>
      <c r="O93" s="98">
        <f t="shared" si="5"/>
        <v>179</v>
      </c>
      <c r="P93" s="98">
        <f t="shared" si="5"/>
        <v>188</v>
      </c>
      <c r="Q93" s="98">
        <f t="shared" si="5"/>
        <v>181</v>
      </c>
      <c r="R93" s="98">
        <f t="shared" si="5"/>
        <v>163</v>
      </c>
      <c r="S93" s="98">
        <f t="shared" si="5"/>
        <v>178</v>
      </c>
      <c r="T93" s="98">
        <f t="shared" si="5"/>
        <v>172</v>
      </c>
      <c r="U93" s="98">
        <f t="shared" si="5"/>
        <v>171</v>
      </c>
      <c r="V93" s="98">
        <f t="shared" si="5"/>
        <v>166</v>
      </c>
      <c r="W93" s="98">
        <f t="shared" si="5"/>
        <v>175</v>
      </c>
      <c r="X93" s="98">
        <f t="shared" si="5"/>
        <v>152</v>
      </c>
      <c r="Y93" s="98">
        <f aca="true" t="shared" si="10" ref="Y93:AG93">IF(ISERROR(Y62),0,Y62)</f>
        <v>171</v>
      </c>
      <c r="Z93" s="98">
        <f t="shared" si="10"/>
        <v>154</v>
      </c>
      <c r="AA93" s="98">
        <f t="shared" si="10"/>
        <v>157</v>
      </c>
      <c r="AB93" s="98">
        <f t="shared" si="10"/>
        <v>142</v>
      </c>
      <c r="AC93" s="98">
        <f t="shared" si="10"/>
        <v>145</v>
      </c>
      <c r="AD93" s="98">
        <f t="shared" si="10"/>
        <v>161</v>
      </c>
      <c r="AE93" s="98">
        <f t="shared" si="10"/>
        <v>140</v>
      </c>
      <c r="AF93" s="98">
        <f t="shared" si="10"/>
        <v>141</v>
      </c>
      <c r="AG93" s="98">
        <f t="shared" si="10"/>
        <v>140</v>
      </c>
    </row>
    <row r="94" spans="2:33" ht="12.75">
      <c r="B94" s="99" t="s">
        <v>71</v>
      </c>
      <c r="C94" s="98">
        <f>IF(ISERROR(C63),0,C63)</f>
        <v>0</v>
      </c>
      <c r="D94" s="98">
        <f t="shared" si="5"/>
        <v>0</v>
      </c>
      <c r="E94" s="98">
        <f t="shared" si="5"/>
        <v>0</v>
      </c>
      <c r="F94" s="98">
        <f t="shared" si="5"/>
        <v>0</v>
      </c>
      <c r="G94" s="98">
        <f t="shared" si="5"/>
        <v>0</v>
      </c>
      <c r="H94" s="98">
        <f t="shared" si="5"/>
        <v>0</v>
      </c>
      <c r="I94" s="98">
        <f t="shared" si="5"/>
        <v>0</v>
      </c>
      <c r="J94" s="98">
        <f t="shared" si="5"/>
        <v>0</v>
      </c>
      <c r="K94" s="98">
        <f t="shared" si="5"/>
        <v>0</v>
      </c>
      <c r="L94" s="98">
        <f t="shared" si="5"/>
        <v>0</v>
      </c>
      <c r="M94" s="98">
        <f t="shared" si="5"/>
        <v>0</v>
      </c>
      <c r="N94" s="98">
        <f t="shared" si="5"/>
        <v>0</v>
      </c>
      <c r="O94" s="98">
        <f t="shared" si="5"/>
        <v>0</v>
      </c>
      <c r="P94" s="98">
        <f t="shared" si="5"/>
        <v>0</v>
      </c>
      <c r="Q94" s="98">
        <f t="shared" si="5"/>
        <v>0</v>
      </c>
      <c r="R94" s="98">
        <f t="shared" si="5"/>
        <v>0</v>
      </c>
      <c r="S94" s="98">
        <f t="shared" si="5"/>
        <v>0</v>
      </c>
      <c r="T94" s="98">
        <f t="shared" si="5"/>
        <v>0</v>
      </c>
      <c r="U94" s="98">
        <f t="shared" si="5"/>
        <v>0</v>
      </c>
      <c r="V94" s="98">
        <f t="shared" si="5"/>
        <v>0</v>
      </c>
      <c r="W94" s="98">
        <f t="shared" si="5"/>
        <v>0</v>
      </c>
      <c r="X94" s="98">
        <f t="shared" si="5"/>
        <v>0</v>
      </c>
      <c r="Y94" s="98">
        <f aca="true" t="shared" si="11" ref="Y94:AG94">IF(ISERROR(Y63),0,Y63)</f>
        <v>0</v>
      </c>
      <c r="Z94" s="98">
        <f t="shared" si="11"/>
        <v>0</v>
      </c>
      <c r="AA94" s="98">
        <f t="shared" si="11"/>
        <v>0</v>
      </c>
      <c r="AB94" s="98">
        <f t="shared" si="11"/>
        <v>0</v>
      </c>
      <c r="AC94" s="98">
        <f t="shared" si="11"/>
        <v>0</v>
      </c>
      <c r="AD94" s="98">
        <f t="shared" si="11"/>
        <v>0</v>
      </c>
      <c r="AE94" s="98">
        <f t="shared" si="11"/>
        <v>0</v>
      </c>
      <c r="AF94" s="98">
        <f t="shared" si="11"/>
        <v>0</v>
      </c>
      <c r="AG94" s="98">
        <f t="shared" si="11"/>
        <v>3</v>
      </c>
    </row>
    <row r="95" spans="2:17" ht="12.75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2:33" ht="13.5" thickBot="1">
      <c r="B96" s="54" t="s">
        <v>0</v>
      </c>
      <c r="C96" s="55">
        <v>38169</v>
      </c>
      <c r="D96" s="55">
        <v>38200</v>
      </c>
      <c r="E96" s="55">
        <v>38231</v>
      </c>
      <c r="F96" s="55">
        <v>38261</v>
      </c>
      <c r="G96" s="55">
        <v>38292</v>
      </c>
      <c r="H96" s="55">
        <v>38322</v>
      </c>
      <c r="I96" s="55">
        <v>38353</v>
      </c>
      <c r="J96" s="55">
        <v>38384</v>
      </c>
      <c r="K96" s="55">
        <v>38412</v>
      </c>
      <c r="L96" s="55">
        <v>38443</v>
      </c>
      <c r="M96" s="55">
        <v>38473</v>
      </c>
      <c r="N96" s="55">
        <v>38504</v>
      </c>
      <c r="O96" s="55">
        <v>38534</v>
      </c>
      <c r="P96" s="55">
        <v>38565</v>
      </c>
      <c r="Q96" s="55">
        <v>38596</v>
      </c>
      <c r="R96" s="55">
        <v>38626</v>
      </c>
      <c r="S96" s="55">
        <v>38657</v>
      </c>
      <c r="T96" s="55">
        <v>38687</v>
      </c>
      <c r="U96" s="55">
        <v>38718</v>
      </c>
      <c r="V96" s="55">
        <v>38749</v>
      </c>
      <c r="W96" s="55">
        <v>38777</v>
      </c>
      <c r="X96" s="55">
        <v>38808</v>
      </c>
      <c r="Y96" s="55">
        <v>38838</v>
      </c>
      <c r="Z96" s="55">
        <v>38869</v>
      </c>
      <c r="AA96" s="55">
        <v>38899</v>
      </c>
      <c r="AB96" s="55">
        <v>38930</v>
      </c>
      <c r="AC96" s="55">
        <v>38961</v>
      </c>
      <c r="AD96" s="55">
        <v>38991</v>
      </c>
      <c r="AE96" s="55">
        <v>39022</v>
      </c>
      <c r="AF96" s="55">
        <v>39052</v>
      </c>
      <c r="AG96" s="55">
        <v>39083</v>
      </c>
    </row>
    <row r="97" spans="2:34" ht="13.5" thickTop="1">
      <c r="B97" s="30" t="s">
        <v>27</v>
      </c>
      <c r="C97" s="32">
        <f>SUM(C66:C68)</f>
        <v>1479</v>
      </c>
      <c r="D97" s="32">
        <f aca="true" t="shared" si="12" ref="D97:AG97">SUM(D66:D68)</f>
        <v>1408</v>
      </c>
      <c r="E97" s="32">
        <f t="shared" si="12"/>
        <v>1461</v>
      </c>
      <c r="F97" s="32">
        <f t="shared" si="12"/>
        <v>1454</v>
      </c>
      <c r="G97" s="32">
        <f t="shared" si="12"/>
        <v>1498</v>
      </c>
      <c r="H97" s="32">
        <f t="shared" si="12"/>
        <v>1520</v>
      </c>
      <c r="I97" s="32">
        <f t="shared" si="12"/>
        <v>1482</v>
      </c>
      <c r="J97" s="32">
        <f t="shared" si="12"/>
        <v>1351</v>
      </c>
      <c r="K97" s="32">
        <f t="shared" si="12"/>
        <v>1626</v>
      </c>
      <c r="L97" s="32">
        <f t="shared" si="12"/>
        <v>1505</v>
      </c>
      <c r="M97" s="32">
        <f t="shared" si="12"/>
        <v>1608</v>
      </c>
      <c r="N97" s="32">
        <f t="shared" si="12"/>
        <v>1595</v>
      </c>
      <c r="O97" s="32">
        <f t="shared" si="12"/>
        <v>1515</v>
      </c>
      <c r="P97" s="32">
        <f t="shared" si="12"/>
        <v>1586</v>
      </c>
      <c r="Q97" s="32">
        <f t="shared" si="12"/>
        <v>1565</v>
      </c>
      <c r="R97" s="32">
        <f t="shared" si="12"/>
        <v>1574</v>
      </c>
      <c r="S97" s="32">
        <f t="shared" si="12"/>
        <v>1629</v>
      </c>
      <c r="T97" s="32">
        <f t="shared" si="12"/>
        <v>1638</v>
      </c>
      <c r="U97" s="32">
        <f t="shared" si="12"/>
        <v>1588</v>
      </c>
      <c r="V97" s="32">
        <f t="shared" si="12"/>
        <v>1564</v>
      </c>
      <c r="W97" s="32">
        <f t="shared" si="12"/>
        <v>1665</v>
      </c>
      <c r="X97" s="32">
        <f t="shared" si="12"/>
        <v>1489</v>
      </c>
      <c r="Y97" s="32">
        <f t="shared" si="12"/>
        <v>1590</v>
      </c>
      <c r="Z97" s="32">
        <f t="shared" si="12"/>
        <v>1628</v>
      </c>
      <c r="AA97" s="32">
        <f t="shared" si="12"/>
        <v>1515</v>
      </c>
      <c r="AB97" s="32">
        <f t="shared" si="12"/>
        <v>1563</v>
      </c>
      <c r="AC97" s="32">
        <f t="shared" si="12"/>
        <v>1511</v>
      </c>
      <c r="AD97" s="32">
        <f t="shared" si="12"/>
        <v>1661</v>
      </c>
      <c r="AE97" s="32">
        <f t="shared" si="12"/>
        <v>1628</v>
      </c>
      <c r="AF97" s="32">
        <f t="shared" si="12"/>
        <v>1525</v>
      </c>
      <c r="AG97" s="32">
        <f t="shared" si="12"/>
        <v>1690</v>
      </c>
      <c r="AH97" s="58" t="e">
        <f>#REF!-#REF!</f>
        <v>#REF!</v>
      </c>
    </row>
    <row r="98" spans="2:34" ht="12.75">
      <c r="B98" s="22" t="s">
        <v>28</v>
      </c>
      <c r="C98" s="23">
        <f>SUM(C69:C71)</f>
        <v>2387</v>
      </c>
      <c r="D98" s="23">
        <f aca="true" t="shared" si="13" ref="D98:AG98">SUM(D69:D71)</f>
        <v>2173</v>
      </c>
      <c r="E98" s="23">
        <f t="shared" si="13"/>
        <v>2334</v>
      </c>
      <c r="F98" s="23">
        <f t="shared" si="13"/>
        <v>2353</v>
      </c>
      <c r="G98" s="23">
        <f t="shared" si="13"/>
        <v>2407</v>
      </c>
      <c r="H98" s="23">
        <f t="shared" si="13"/>
        <v>2438</v>
      </c>
      <c r="I98" s="23">
        <f t="shared" si="13"/>
        <v>2362</v>
      </c>
      <c r="J98" s="23">
        <f t="shared" si="13"/>
        <v>2177</v>
      </c>
      <c r="K98" s="23">
        <f t="shared" si="13"/>
        <v>2556</v>
      </c>
      <c r="L98" s="23">
        <f t="shared" si="13"/>
        <v>2364</v>
      </c>
      <c r="M98" s="23">
        <f t="shared" si="13"/>
        <v>2458</v>
      </c>
      <c r="N98" s="23">
        <f t="shared" si="13"/>
        <v>2407</v>
      </c>
      <c r="O98" s="23">
        <f t="shared" si="13"/>
        <v>2341</v>
      </c>
      <c r="P98" s="23">
        <f t="shared" si="13"/>
        <v>2286</v>
      </c>
      <c r="Q98" s="23">
        <f t="shared" si="13"/>
        <v>2402</v>
      </c>
      <c r="R98" s="23">
        <f t="shared" si="13"/>
        <v>2374</v>
      </c>
      <c r="S98" s="23">
        <f t="shared" si="13"/>
        <v>2345</v>
      </c>
      <c r="T98" s="23">
        <f t="shared" si="13"/>
        <v>2451</v>
      </c>
      <c r="U98" s="23">
        <f t="shared" si="13"/>
        <v>2356</v>
      </c>
      <c r="V98" s="23">
        <f t="shared" si="13"/>
        <v>2251</v>
      </c>
      <c r="W98" s="23">
        <f t="shared" si="13"/>
        <v>2404</v>
      </c>
      <c r="X98" s="23">
        <f t="shared" si="13"/>
        <v>2191</v>
      </c>
      <c r="Y98" s="23">
        <f t="shared" si="13"/>
        <v>2353</v>
      </c>
      <c r="Z98" s="23">
        <f t="shared" si="13"/>
        <v>2263</v>
      </c>
      <c r="AA98" s="23">
        <f t="shared" si="13"/>
        <v>2156</v>
      </c>
      <c r="AB98" s="23">
        <f t="shared" si="13"/>
        <v>2238</v>
      </c>
      <c r="AC98" s="23">
        <f t="shared" si="13"/>
        <v>2047</v>
      </c>
      <c r="AD98" s="23">
        <f t="shared" si="13"/>
        <v>2266</v>
      </c>
      <c r="AE98" s="23">
        <f t="shared" si="13"/>
        <v>2210</v>
      </c>
      <c r="AF98" s="23">
        <f t="shared" si="13"/>
        <v>2079</v>
      </c>
      <c r="AG98" s="23">
        <f t="shared" si="13"/>
        <v>2324</v>
      </c>
      <c r="AH98" s="58" t="e">
        <f>#REF!-#REF!</f>
        <v>#REF!</v>
      </c>
    </row>
    <row r="99" spans="2:34" ht="12.75">
      <c r="B99" s="22" t="s">
        <v>39</v>
      </c>
      <c r="C99" s="23">
        <f>C72</f>
        <v>0</v>
      </c>
      <c r="D99" s="23">
        <f aca="true" t="shared" si="14" ref="D99:AG99">D72</f>
        <v>0</v>
      </c>
      <c r="E99" s="23">
        <f t="shared" si="14"/>
        <v>0</v>
      </c>
      <c r="F99" s="23">
        <f t="shared" si="14"/>
        <v>0</v>
      </c>
      <c r="G99" s="23">
        <f t="shared" si="14"/>
        <v>0</v>
      </c>
      <c r="H99" s="23">
        <f t="shared" si="14"/>
        <v>0</v>
      </c>
      <c r="I99" s="23">
        <f t="shared" si="14"/>
        <v>0</v>
      </c>
      <c r="J99" s="23">
        <f t="shared" si="14"/>
        <v>0</v>
      </c>
      <c r="K99" s="23">
        <f t="shared" si="14"/>
        <v>0</v>
      </c>
      <c r="L99" s="23">
        <f t="shared" si="14"/>
        <v>0</v>
      </c>
      <c r="M99" s="23">
        <f t="shared" si="14"/>
        <v>0</v>
      </c>
      <c r="N99" s="23">
        <f t="shared" si="14"/>
        <v>0</v>
      </c>
      <c r="O99" s="23">
        <f t="shared" si="14"/>
        <v>0</v>
      </c>
      <c r="P99" s="23">
        <f t="shared" si="14"/>
        <v>0</v>
      </c>
      <c r="Q99" s="23">
        <f t="shared" si="14"/>
        <v>0</v>
      </c>
      <c r="R99" s="23">
        <f t="shared" si="14"/>
        <v>0</v>
      </c>
      <c r="S99" s="23">
        <f t="shared" si="14"/>
        <v>0</v>
      </c>
      <c r="T99" s="23">
        <f t="shared" si="14"/>
        <v>0</v>
      </c>
      <c r="U99" s="23">
        <f t="shared" si="14"/>
        <v>0</v>
      </c>
      <c r="V99" s="23">
        <f t="shared" si="14"/>
        <v>0</v>
      </c>
      <c r="W99" s="23">
        <f t="shared" si="14"/>
        <v>0</v>
      </c>
      <c r="X99" s="23">
        <f t="shared" si="14"/>
        <v>0</v>
      </c>
      <c r="Y99" s="23">
        <f t="shared" si="14"/>
        <v>0</v>
      </c>
      <c r="Z99" s="23">
        <f t="shared" si="14"/>
        <v>9</v>
      </c>
      <c r="AA99" s="23">
        <f t="shared" si="14"/>
        <v>20</v>
      </c>
      <c r="AB99" s="23">
        <f t="shared" si="14"/>
        <v>30</v>
      </c>
      <c r="AC99" s="23">
        <f t="shared" si="14"/>
        <v>40</v>
      </c>
      <c r="AD99" s="23">
        <f t="shared" si="14"/>
        <v>64</v>
      </c>
      <c r="AE99" s="23">
        <f t="shared" si="14"/>
        <v>78</v>
      </c>
      <c r="AF99" s="23">
        <f t="shared" si="14"/>
        <v>85</v>
      </c>
      <c r="AG99" s="23">
        <f t="shared" si="14"/>
        <v>106</v>
      </c>
      <c r="AH99" s="58" t="e">
        <f>#REF!-#REF!</f>
        <v>#REF!</v>
      </c>
    </row>
    <row r="100" spans="2:34" ht="12.75">
      <c r="B100" s="22" t="s">
        <v>29</v>
      </c>
      <c r="C100" s="23">
        <f>SUM(C73:C75)</f>
        <v>509</v>
      </c>
      <c r="D100" s="23">
        <f aca="true" t="shared" si="15" ref="D100:AG100">SUM(D73:D75)</f>
        <v>497</v>
      </c>
      <c r="E100" s="23">
        <f t="shared" si="15"/>
        <v>503</v>
      </c>
      <c r="F100" s="23">
        <f t="shared" si="15"/>
        <v>530</v>
      </c>
      <c r="G100" s="23">
        <f t="shared" si="15"/>
        <v>548</v>
      </c>
      <c r="H100" s="23">
        <f t="shared" si="15"/>
        <v>576</v>
      </c>
      <c r="I100" s="23">
        <f t="shared" si="15"/>
        <v>574</v>
      </c>
      <c r="J100" s="23">
        <f t="shared" si="15"/>
        <v>536</v>
      </c>
      <c r="K100" s="23">
        <f t="shared" si="15"/>
        <v>632</v>
      </c>
      <c r="L100" s="23">
        <f t="shared" si="15"/>
        <v>610</v>
      </c>
      <c r="M100" s="23">
        <f t="shared" si="15"/>
        <v>617</v>
      </c>
      <c r="N100" s="23">
        <f t="shared" si="15"/>
        <v>603</v>
      </c>
      <c r="O100" s="23">
        <f t="shared" si="15"/>
        <v>588</v>
      </c>
      <c r="P100" s="23">
        <f t="shared" si="15"/>
        <v>584</v>
      </c>
      <c r="Q100" s="23">
        <f t="shared" si="15"/>
        <v>569</v>
      </c>
      <c r="R100" s="23">
        <f t="shared" si="15"/>
        <v>600</v>
      </c>
      <c r="S100" s="23">
        <f t="shared" si="15"/>
        <v>628</v>
      </c>
      <c r="T100" s="23">
        <f t="shared" si="15"/>
        <v>643</v>
      </c>
      <c r="U100" s="23">
        <f t="shared" si="15"/>
        <v>638</v>
      </c>
      <c r="V100" s="23">
        <f t="shared" si="15"/>
        <v>640</v>
      </c>
      <c r="W100" s="23">
        <f t="shared" si="15"/>
        <v>649</v>
      </c>
      <c r="X100" s="23">
        <f t="shared" si="15"/>
        <v>608</v>
      </c>
      <c r="Y100" s="23">
        <f t="shared" si="15"/>
        <v>628</v>
      </c>
      <c r="Z100" s="23">
        <f t="shared" si="15"/>
        <v>614</v>
      </c>
      <c r="AA100" s="23">
        <f t="shared" si="15"/>
        <v>605</v>
      </c>
      <c r="AB100" s="23">
        <f t="shared" si="15"/>
        <v>606</v>
      </c>
      <c r="AC100" s="23">
        <f t="shared" si="15"/>
        <v>577</v>
      </c>
      <c r="AD100" s="23">
        <f t="shared" si="15"/>
        <v>659</v>
      </c>
      <c r="AE100" s="23">
        <f t="shared" si="15"/>
        <v>602</v>
      </c>
      <c r="AF100" s="23">
        <f t="shared" si="15"/>
        <v>582</v>
      </c>
      <c r="AG100" s="23">
        <f t="shared" si="15"/>
        <v>593</v>
      </c>
      <c r="AH100" s="58" t="e">
        <f>#REF!-#REF!</f>
        <v>#REF!</v>
      </c>
    </row>
    <row r="101" spans="2:34" ht="12.75">
      <c r="B101" s="22" t="s">
        <v>30</v>
      </c>
      <c r="C101" s="23">
        <f>SUM(C76:C79)</f>
        <v>1973</v>
      </c>
      <c r="D101" s="23">
        <f aca="true" t="shared" si="16" ref="D101:AG101">SUM(D76:D79)</f>
        <v>1914</v>
      </c>
      <c r="E101" s="23">
        <f t="shared" si="16"/>
        <v>1988</v>
      </c>
      <c r="F101" s="23">
        <f t="shared" si="16"/>
        <v>2013</v>
      </c>
      <c r="G101" s="23">
        <f t="shared" si="16"/>
        <v>2111</v>
      </c>
      <c r="H101" s="23">
        <f t="shared" si="16"/>
        <v>2186</v>
      </c>
      <c r="I101" s="23">
        <f t="shared" si="16"/>
        <v>2124</v>
      </c>
      <c r="J101" s="23">
        <f t="shared" si="16"/>
        <v>2028</v>
      </c>
      <c r="K101" s="23">
        <f t="shared" si="16"/>
        <v>2397</v>
      </c>
      <c r="L101" s="23">
        <f t="shared" si="16"/>
        <v>2306</v>
      </c>
      <c r="M101" s="23">
        <f t="shared" si="16"/>
        <v>2339</v>
      </c>
      <c r="N101" s="23">
        <f t="shared" si="16"/>
        <v>2246</v>
      </c>
      <c r="O101" s="23">
        <f t="shared" si="16"/>
        <v>2218</v>
      </c>
      <c r="P101" s="23">
        <f t="shared" si="16"/>
        <v>2255</v>
      </c>
      <c r="Q101" s="23">
        <f t="shared" si="16"/>
        <v>2275</v>
      </c>
      <c r="R101" s="23">
        <f t="shared" si="16"/>
        <v>2317</v>
      </c>
      <c r="S101" s="23">
        <f t="shared" si="16"/>
        <v>2419</v>
      </c>
      <c r="T101" s="23">
        <f t="shared" si="16"/>
        <v>2450</v>
      </c>
      <c r="U101" s="23">
        <f t="shared" si="16"/>
        <v>2394</v>
      </c>
      <c r="V101" s="23">
        <f t="shared" si="16"/>
        <v>2405</v>
      </c>
      <c r="W101" s="23">
        <f t="shared" si="16"/>
        <v>2531</v>
      </c>
      <c r="X101" s="23">
        <f t="shared" si="16"/>
        <v>2423</v>
      </c>
      <c r="Y101" s="23">
        <f t="shared" si="16"/>
        <v>2570</v>
      </c>
      <c r="Z101" s="23">
        <f t="shared" si="16"/>
        <v>2554</v>
      </c>
      <c r="AA101" s="23">
        <f t="shared" si="16"/>
        <v>2423</v>
      </c>
      <c r="AB101" s="23">
        <f t="shared" si="16"/>
        <v>2498</v>
      </c>
      <c r="AC101" s="23">
        <f t="shared" si="16"/>
        <v>2411</v>
      </c>
      <c r="AD101" s="23">
        <f t="shared" si="16"/>
        <v>2528</v>
      </c>
      <c r="AE101" s="23">
        <f t="shared" si="16"/>
        <v>2464</v>
      </c>
      <c r="AF101" s="23">
        <f t="shared" si="16"/>
        <v>2414</v>
      </c>
      <c r="AG101" s="23">
        <f t="shared" si="16"/>
        <v>2556</v>
      </c>
      <c r="AH101" s="58" t="e">
        <f>#REF!-#REF!</f>
        <v>#REF!</v>
      </c>
    </row>
    <row r="102" spans="2:34" ht="12.75">
      <c r="B102" s="22" t="s">
        <v>31</v>
      </c>
      <c r="C102" s="23">
        <f>SUM(C80:C82)</f>
        <v>219</v>
      </c>
      <c r="D102" s="23">
        <f aca="true" t="shared" si="17" ref="D102:AG102">SUM(D80:D82)</f>
        <v>213</v>
      </c>
      <c r="E102" s="23">
        <f t="shared" si="17"/>
        <v>216</v>
      </c>
      <c r="F102" s="23">
        <f t="shared" si="17"/>
        <v>250</v>
      </c>
      <c r="G102" s="23">
        <f t="shared" si="17"/>
        <v>273</v>
      </c>
      <c r="H102" s="23">
        <f t="shared" si="17"/>
        <v>289</v>
      </c>
      <c r="I102" s="23">
        <f t="shared" si="17"/>
        <v>315</v>
      </c>
      <c r="J102" s="23">
        <f t="shared" si="17"/>
        <v>287</v>
      </c>
      <c r="K102" s="23">
        <f t="shared" si="17"/>
        <v>365</v>
      </c>
      <c r="L102" s="23">
        <f t="shared" si="17"/>
        <v>345</v>
      </c>
      <c r="M102" s="23">
        <f t="shared" si="17"/>
        <v>380</v>
      </c>
      <c r="N102" s="23">
        <f t="shared" si="17"/>
        <v>367</v>
      </c>
      <c r="O102" s="23">
        <f t="shared" si="17"/>
        <v>361</v>
      </c>
      <c r="P102" s="23">
        <f t="shared" si="17"/>
        <v>380</v>
      </c>
      <c r="Q102" s="23">
        <f t="shared" si="17"/>
        <v>392</v>
      </c>
      <c r="R102" s="23">
        <f t="shared" si="17"/>
        <v>413</v>
      </c>
      <c r="S102" s="23">
        <f t="shared" si="17"/>
        <v>444</v>
      </c>
      <c r="T102" s="23">
        <f t="shared" si="17"/>
        <v>455</v>
      </c>
      <c r="U102" s="23">
        <f t="shared" si="17"/>
        <v>446</v>
      </c>
      <c r="V102" s="23">
        <f t="shared" si="17"/>
        <v>507</v>
      </c>
      <c r="W102" s="23">
        <f t="shared" si="17"/>
        <v>619</v>
      </c>
      <c r="X102" s="23">
        <f t="shared" si="17"/>
        <v>617</v>
      </c>
      <c r="Y102" s="23">
        <f t="shared" si="17"/>
        <v>728</v>
      </c>
      <c r="Z102" s="23">
        <f t="shared" si="17"/>
        <v>796</v>
      </c>
      <c r="AA102" s="23">
        <f t="shared" si="17"/>
        <v>796</v>
      </c>
      <c r="AB102" s="23">
        <f t="shared" si="17"/>
        <v>823</v>
      </c>
      <c r="AC102" s="23">
        <f t="shared" si="17"/>
        <v>898</v>
      </c>
      <c r="AD102" s="23">
        <f t="shared" si="17"/>
        <v>944</v>
      </c>
      <c r="AE102" s="23">
        <f t="shared" si="17"/>
        <v>983</v>
      </c>
      <c r="AF102" s="23">
        <f t="shared" si="17"/>
        <v>943</v>
      </c>
      <c r="AG102" s="23">
        <f t="shared" si="17"/>
        <v>1059</v>
      </c>
      <c r="AH102" s="58" t="e">
        <f>#REF!-#REF!</f>
        <v>#REF!</v>
      </c>
    </row>
    <row r="103" spans="2:34" ht="12.75">
      <c r="B103" s="22" t="s">
        <v>32</v>
      </c>
      <c r="C103" s="23">
        <f>C83</f>
        <v>0</v>
      </c>
      <c r="D103" s="23">
        <f aca="true" t="shared" si="18" ref="D103:AG103">D83</f>
        <v>0</v>
      </c>
      <c r="E103" s="23">
        <f t="shared" si="18"/>
        <v>0</v>
      </c>
      <c r="F103" s="23">
        <f t="shared" si="18"/>
        <v>0</v>
      </c>
      <c r="G103" s="23">
        <f t="shared" si="18"/>
        <v>0</v>
      </c>
      <c r="H103" s="23">
        <f t="shared" si="18"/>
        <v>0</v>
      </c>
      <c r="I103" s="23">
        <f t="shared" si="18"/>
        <v>6</v>
      </c>
      <c r="J103" s="23">
        <f t="shared" si="18"/>
        <v>43</v>
      </c>
      <c r="K103" s="23">
        <f t="shared" si="18"/>
        <v>120</v>
      </c>
      <c r="L103" s="23">
        <f t="shared" si="18"/>
        <v>155</v>
      </c>
      <c r="M103" s="23">
        <f t="shared" si="18"/>
        <v>193</v>
      </c>
      <c r="N103" s="23">
        <f t="shared" si="18"/>
        <v>216</v>
      </c>
      <c r="O103" s="23">
        <f t="shared" si="18"/>
        <v>258</v>
      </c>
      <c r="P103" s="23">
        <f t="shared" si="18"/>
        <v>260</v>
      </c>
      <c r="Q103" s="23">
        <f t="shared" si="18"/>
        <v>271</v>
      </c>
      <c r="R103" s="23">
        <f t="shared" si="18"/>
        <v>279</v>
      </c>
      <c r="S103" s="23">
        <f t="shared" si="18"/>
        <v>304</v>
      </c>
      <c r="T103" s="23">
        <f t="shared" si="18"/>
        <v>331</v>
      </c>
      <c r="U103" s="23">
        <f t="shared" si="18"/>
        <v>342</v>
      </c>
      <c r="V103" s="23">
        <f t="shared" si="18"/>
        <v>360</v>
      </c>
      <c r="W103" s="23">
        <f t="shared" si="18"/>
        <v>365</v>
      </c>
      <c r="X103" s="23">
        <f t="shared" si="18"/>
        <v>363</v>
      </c>
      <c r="Y103" s="23">
        <f t="shared" si="18"/>
        <v>375</v>
      </c>
      <c r="Z103" s="23">
        <f t="shared" si="18"/>
        <v>363</v>
      </c>
      <c r="AA103" s="23">
        <f t="shared" si="18"/>
        <v>368</v>
      </c>
      <c r="AB103" s="23">
        <f t="shared" si="18"/>
        <v>365</v>
      </c>
      <c r="AC103" s="23">
        <f t="shared" si="18"/>
        <v>327</v>
      </c>
      <c r="AD103" s="23">
        <f t="shared" si="18"/>
        <v>374</v>
      </c>
      <c r="AE103" s="23">
        <f t="shared" si="18"/>
        <v>398</v>
      </c>
      <c r="AF103" s="23">
        <f t="shared" si="18"/>
        <v>371</v>
      </c>
      <c r="AG103" s="23">
        <f t="shared" si="18"/>
        <v>398</v>
      </c>
      <c r="AH103" s="58" t="e">
        <f>#REF!-#REF!</f>
        <v>#REF!</v>
      </c>
    </row>
    <row r="104" spans="2:34" ht="12.75">
      <c r="B104" s="22" t="s">
        <v>33</v>
      </c>
      <c r="C104" s="23">
        <f>SUM(C84:C85)</f>
        <v>0</v>
      </c>
      <c r="D104" s="23">
        <f aca="true" t="shared" si="19" ref="D104:AG104">SUM(D84:D85)</f>
        <v>0</v>
      </c>
      <c r="E104" s="23">
        <f t="shared" si="19"/>
        <v>0</v>
      </c>
      <c r="F104" s="23">
        <f t="shared" si="19"/>
        <v>0</v>
      </c>
      <c r="G104" s="23">
        <f t="shared" si="19"/>
        <v>0</v>
      </c>
      <c r="H104" s="23">
        <f t="shared" si="19"/>
        <v>0</v>
      </c>
      <c r="I104" s="23">
        <f t="shared" si="19"/>
        <v>0</v>
      </c>
      <c r="J104" s="23">
        <f t="shared" si="19"/>
        <v>0</v>
      </c>
      <c r="K104" s="23">
        <f t="shared" si="19"/>
        <v>0</v>
      </c>
      <c r="L104" s="23">
        <f t="shared" si="19"/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  <c r="T104" s="23">
        <f t="shared" si="19"/>
        <v>0</v>
      </c>
      <c r="U104" s="23">
        <f t="shared" si="19"/>
        <v>5</v>
      </c>
      <c r="V104" s="23">
        <f t="shared" si="19"/>
        <v>17</v>
      </c>
      <c r="W104" s="23">
        <f t="shared" si="19"/>
        <v>38</v>
      </c>
      <c r="X104" s="23">
        <f t="shared" si="19"/>
        <v>53</v>
      </c>
      <c r="Y104" s="23">
        <f t="shared" si="19"/>
        <v>80</v>
      </c>
      <c r="Z104" s="23">
        <f t="shared" si="19"/>
        <v>90</v>
      </c>
      <c r="AA104" s="23">
        <f t="shared" si="19"/>
        <v>113</v>
      </c>
      <c r="AB104" s="23">
        <f t="shared" si="19"/>
        <v>109</v>
      </c>
      <c r="AC104" s="23">
        <f t="shared" si="19"/>
        <v>127</v>
      </c>
      <c r="AD104" s="23">
        <f t="shared" si="19"/>
        <v>166</v>
      </c>
      <c r="AE104" s="23">
        <f t="shared" si="19"/>
        <v>162</v>
      </c>
      <c r="AF104" s="23">
        <f t="shared" si="19"/>
        <v>164</v>
      </c>
      <c r="AG104" s="23">
        <f t="shared" si="19"/>
        <v>191</v>
      </c>
      <c r="AH104" s="58" t="e">
        <f>#REF!-#REF!</f>
        <v>#REF!</v>
      </c>
    </row>
    <row r="105" spans="2:34" ht="12.75">
      <c r="B105" s="22" t="s">
        <v>34</v>
      </c>
      <c r="C105" s="23">
        <f>C86</f>
        <v>22</v>
      </c>
      <c r="D105" s="23">
        <f aca="true" t="shared" si="20" ref="D105:AG105">D86</f>
        <v>26</v>
      </c>
      <c r="E105" s="23">
        <f t="shared" si="20"/>
        <v>23</v>
      </c>
      <c r="F105" s="23">
        <f t="shared" si="20"/>
        <v>16</v>
      </c>
      <c r="G105" s="23">
        <f t="shared" si="20"/>
        <v>17</v>
      </c>
      <c r="H105" s="23">
        <f t="shared" si="20"/>
        <v>19</v>
      </c>
      <c r="I105" s="23">
        <f t="shared" si="20"/>
        <v>15</v>
      </c>
      <c r="J105" s="23">
        <f t="shared" si="20"/>
        <v>15</v>
      </c>
      <c r="K105" s="23">
        <f t="shared" si="20"/>
        <v>16</v>
      </c>
      <c r="L105" s="23">
        <f t="shared" si="20"/>
        <v>16</v>
      </c>
      <c r="M105" s="23">
        <f t="shared" si="20"/>
        <v>19</v>
      </c>
      <c r="N105" s="23">
        <f t="shared" si="20"/>
        <v>20</v>
      </c>
      <c r="O105" s="23">
        <f t="shared" si="20"/>
        <v>23</v>
      </c>
      <c r="P105" s="23">
        <f t="shared" si="20"/>
        <v>23</v>
      </c>
      <c r="Q105" s="23">
        <f t="shared" si="20"/>
        <v>22</v>
      </c>
      <c r="R105" s="23">
        <f t="shared" si="20"/>
        <v>22</v>
      </c>
      <c r="S105" s="23">
        <f t="shared" si="20"/>
        <v>23</v>
      </c>
      <c r="T105" s="23">
        <f t="shared" si="20"/>
        <v>24</v>
      </c>
      <c r="U105" s="23">
        <f t="shared" si="20"/>
        <v>18</v>
      </c>
      <c r="V105" s="23">
        <f t="shared" si="20"/>
        <v>16</v>
      </c>
      <c r="W105" s="23">
        <f t="shared" si="20"/>
        <v>16</v>
      </c>
      <c r="X105" s="23">
        <f t="shared" si="20"/>
        <v>17</v>
      </c>
      <c r="Y105" s="23">
        <f t="shared" si="20"/>
        <v>20</v>
      </c>
      <c r="Z105" s="23">
        <f t="shared" si="20"/>
        <v>20</v>
      </c>
      <c r="AA105" s="23">
        <f t="shared" si="20"/>
        <v>21</v>
      </c>
      <c r="AB105" s="23">
        <f t="shared" si="20"/>
        <v>14</v>
      </c>
      <c r="AC105" s="23">
        <f t="shared" si="20"/>
        <v>12</v>
      </c>
      <c r="AD105" s="23">
        <f t="shared" si="20"/>
        <v>14</v>
      </c>
      <c r="AE105" s="23">
        <f t="shared" si="20"/>
        <v>17</v>
      </c>
      <c r="AF105" s="23">
        <f t="shared" si="20"/>
        <v>11</v>
      </c>
      <c r="AG105" s="23">
        <f t="shared" si="20"/>
        <v>14</v>
      </c>
      <c r="AH105" s="58" t="e">
        <f>#REF!-#REF!</f>
        <v>#REF!</v>
      </c>
    </row>
    <row r="106" spans="2:34" ht="12.75">
      <c r="B106" s="22" t="s">
        <v>35</v>
      </c>
      <c r="C106" s="23">
        <f>SUM(C87:C93)</f>
        <v>1860</v>
      </c>
      <c r="D106" s="23">
        <f aca="true" t="shared" si="21" ref="D106:AG106">SUM(D87:D93)</f>
        <v>1725</v>
      </c>
      <c r="E106" s="23">
        <f t="shared" si="21"/>
        <v>1848</v>
      </c>
      <c r="F106" s="23">
        <f t="shared" si="21"/>
        <v>1841</v>
      </c>
      <c r="G106" s="23">
        <f t="shared" si="21"/>
        <v>1929</v>
      </c>
      <c r="H106" s="23">
        <f t="shared" si="21"/>
        <v>1916</v>
      </c>
      <c r="I106" s="23">
        <f t="shared" si="21"/>
        <v>1899</v>
      </c>
      <c r="J106" s="23">
        <f t="shared" si="21"/>
        <v>1722</v>
      </c>
      <c r="K106" s="23">
        <f t="shared" si="21"/>
        <v>2086</v>
      </c>
      <c r="L106" s="23">
        <f t="shared" si="21"/>
        <v>1922</v>
      </c>
      <c r="M106" s="23">
        <f t="shared" si="21"/>
        <v>1978</v>
      </c>
      <c r="N106" s="23">
        <f t="shared" si="21"/>
        <v>1949</v>
      </c>
      <c r="O106" s="23">
        <f t="shared" si="21"/>
        <v>1903</v>
      </c>
      <c r="P106" s="23">
        <f t="shared" si="21"/>
        <v>1840</v>
      </c>
      <c r="Q106" s="23">
        <f t="shared" si="21"/>
        <v>1877</v>
      </c>
      <c r="R106" s="23">
        <f t="shared" si="21"/>
        <v>1897</v>
      </c>
      <c r="S106" s="23">
        <f t="shared" si="21"/>
        <v>1914</v>
      </c>
      <c r="T106" s="23">
        <f t="shared" si="21"/>
        <v>1900</v>
      </c>
      <c r="U106" s="23">
        <f t="shared" si="21"/>
        <v>1886</v>
      </c>
      <c r="V106" s="23">
        <f t="shared" si="21"/>
        <v>1813</v>
      </c>
      <c r="W106" s="23">
        <f t="shared" si="21"/>
        <v>1962</v>
      </c>
      <c r="X106" s="23">
        <f t="shared" si="21"/>
        <v>1805</v>
      </c>
      <c r="Y106" s="23">
        <f t="shared" si="21"/>
        <v>1968</v>
      </c>
      <c r="Z106" s="23">
        <f t="shared" si="21"/>
        <v>1965</v>
      </c>
      <c r="AA106" s="23">
        <f t="shared" si="21"/>
        <v>1821</v>
      </c>
      <c r="AB106" s="23">
        <f t="shared" si="21"/>
        <v>1839</v>
      </c>
      <c r="AC106" s="23">
        <f t="shared" si="21"/>
        <v>1783</v>
      </c>
      <c r="AD106" s="23">
        <f t="shared" si="21"/>
        <v>1858</v>
      </c>
      <c r="AE106" s="23">
        <f t="shared" si="21"/>
        <v>1811</v>
      </c>
      <c r="AF106" s="23">
        <f t="shared" si="21"/>
        <v>1710</v>
      </c>
      <c r="AG106" s="23">
        <f t="shared" si="21"/>
        <v>1880</v>
      </c>
      <c r="AH106" s="58" t="e">
        <f>#REF!-#REF!</f>
        <v>#REF!</v>
      </c>
    </row>
    <row r="107" spans="2:34" ht="13.5" thickBot="1">
      <c r="B107" s="24" t="s">
        <v>72</v>
      </c>
      <c r="C107" s="25">
        <f>C94</f>
        <v>0</v>
      </c>
      <c r="D107" s="25">
        <f aca="true" t="shared" si="22" ref="D107:AG107">D94</f>
        <v>0</v>
      </c>
      <c r="E107" s="25">
        <f t="shared" si="22"/>
        <v>0</v>
      </c>
      <c r="F107" s="25">
        <f t="shared" si="22"/>
        <v>0</v>
      </c>
      <c r="G107" s="25">
        <f t="shared" si="22"/>
        <v>0</v>
      </c>
      <c r="H107" s="25">
        <f t="shared" si="22"/>
        <v>0</v>
      </c>
      <c r="I107" s="25">
        <f t="shared" si="22"/>
        <v>0</v>
      </c>
      <c r="J107" s="25">
        <f t="shared" si="22"/>
        <v>0</v>
      </c>
      <c r="K107" s="25">
        <f t="shared" si="22"/>
        <v>0</v>
      </c>
      <c r="L107" s="25">
        <f t="shared" si="22"/>
        <v>0</v>
      </c>
      <c r="M107" s="25">
        <f t="shared" si="22"/>
        <v>0</v>
      </c>
      <c r="N107" s="25">
        <f t="shared" si="22"/>
        <v>0</v>
      </c>
      <c r="O107" s="25">
        <f t="shared" si="22"/>
        <v>0</v>
      </c>
      <c r="P107" s="25">
        <f t="shared" si="22"/>
        <v>0</v>
      </c>
      <c r="Q107" s="25">
        <f t="shared" si="22"/>
        <v>0</v>
      </c>
      <c r="R107" s="25">
        <f t="shared" si="22"/>
        <v>0</v>
      </c>
      <c r="S107" s="25">
        <f t="shared" si="22"/>
        <v>0</v>
      </c>
      <c r="T107" s="25">
        <f t="shared" si="22"/>
        <v>0</v>
      </c>
      <c r="U107" s="25">
        <f t="shared" si="22"/>
        <v>0</v>
      </c>
      <c r="V107" s="25">
        <f t="shared" si="22"/>
        <v>0</v>
      </c>
      <c r="W107" s="25">
        <f t="shared" si="22"/>
        <v>0</v>
      </c>
      <c r="X107" s="25">
        <f t="shared" si="22"/>
        <v>0</v>
      </c>
      <c r="Y107" s="25">
        <f t="shared" si="22"/>
        <v>0</v>
      </c>
      <c r="Z107" s="25">
        <f t="shared" si="22"/>
        <v>0</v>
      </c>
      <c r="AA107" s="25">
        <f t="shared" si="22"/>
        <v>0</v>
      </c>
      <c r="AB107" s="25">
        <f t="shared" si="22"/>
        <v>0</v>
      </c>
      <c r="AC107" s="25">
        <f t="shared" si="22"/>
        <v>0</v>
      </c>
      <c r="AD107" s="25">
        <f t="shared" si="22"/>
        <v>0</v>
      </c>
      <c r="AE107" s="25">
        <f t="shared" si="22"/>
        <v>0</v>
      </c>
      <c r="AF107" s="25">
        <f t="shared" si="22"/>
        <v>0</v>
      </c>
      <c r="AG107" s="25">
        <f t="shared" si="22"/>
        <v>3</v>
      </c>
      <c r="AH107" s="58" t="e">
        <f>#REF!-#REF!</f>
        <v>#REF!</v>
      </c>
    </row>
    <row r="108" spans="2:34" ht="13.5" thickTop="1">
      <c r="B108" s="26" t="s">
        <v>36</v>
      </c>
      <c r="C108" s="56">
        <f>SUM(C97:C107)</f>
        <v>8449</v>
      </c>
      <c r="D108" s="56">
        <f aca="true" t="shared" si="23" ref="D108:AG108">SUM(D97:D107)</f>
        <v>7956</v>
      </c>
      <c r="E108" s="56">
        <f t="shared" si="23"/>
        <v>8373</v>
      </c>
      <c r="F108" s="56">
        <f t="shared" si="23"/>
        <v>8457</v>
      </c>
      <c r="G108" s="56">
        <f t="shared" si="23"/>
        <v>8783</v>
      </c>
      <c r="H108" s="56">
        <f t="shared" si="23"/>
        <v>8944</v>
      </c>
      <c r="I108" s="56">
        <f t="shared" si="23"/>
        <v>8777</v>
      </c>
      <c r="J108" s="56">
        <f t="shared" si="23"/>
        <v>8159</v>
      </c>
      <c r="K108" s="56">
        <f t="shared" si="23"/>
        <v>9798</v>
      </c>
      <c r="L108" s="56">
        <f t="shared" si="23"/>
        <v>9223</v>
      </c>
      <c r="M108" s="56">
        <f t="shared" si="23"/>
        <v>9592</v>
      </c>
      <c r="N108" s="56">
        <f t="shared" si="23"/>
        <v>9403</v>
      </c>
      <c r="O108" s="56">
        <f t="shared" si="23"/>
        <v>9207</v>
      </c>
      <c r="P108" s="56">
        <f t="shared" si="23"/>
        <v>9214</v>
      </c>
      <c r="Q108" s="56">
        <f t="shared" si="23"/>
        <v>9373</v>
      </c>
      <c r="R108" s="56">
        <f t="shared" si="23"/>
        <v>9476</v>
      </c>
      <c r="S108" s="56">
        <f t="shared" si="23"/>
        <v>9706</v>
      </c>
      <c r="T108" s="56">
        <f t="shared" si="23"/>
        <v>9892</v>
      </c>
      <c r="U108" s="56">
        <f t="shared" si="23"/>
        <v>9673</v>
      </c>
      <c r="V108" s="56">
        <f t="shared" si="23"/>
        <v>9573</v>
      </c>
      <c r="W108" s="56">
        <f t="shared" si="23"/>
        <v>10249</v>
      </c>
      <c r="X108" s="56">
        <f t="shared" si="23"/>
        <v>9566</v>
      </c>
      <c r="Y108" s="56">
        <f t="shared" si="23"/>
        <v>10312</v>
      </c>
      <c r="Z108" s="56">
        <f t="shared" si="23"/>
        <v>10302</v>
      </c>
      <c r="AA108" s="56">
        <f t="shared" si="23"/>
        <v>9838</v>
      </c>
      <c r="AB108" s="56">
        <f t="shared" si="23"/>
        <v>10085</v>
      </c>
      <c r="AC108" s="56">
        <f t="shared" si="23"/>
        <v>9733</v>
      </c>
      <c r="AD108" s="56">
        <f t="shared" si="23"/>
        <v>10534</v>
      </c>
      <c r="AE108" s="56">
        <f t="shared" si="23"/>
        <v>10353</v>
      </c>
      <c r="AF108" s="56">
        <f t="shared" si="23"/>
        <v>9884</v>
      </c>
      <c r="AG108" s="56">
        <f t="shared" si="23"/>
        <v>10814</v>
      </c>
      <c r="AH108" s="58" t="e">
        <f>#REF!-#REF!</f>
        <v>#REF!</v>
      </c>
    </row>
    <row r="109" spans="2:34" s="14" customFormat="1" ht="12.75">
      <c r="B109" s="67" t="s">
        <v>37</v>
      </c>
      <c r="C109" s="68">
        <f>SUM(C97:C99)</f>
        <v>3866</v>
      </c>
      <c r="D109" s="68">
        <f aca="true" t="shared" si="24" ref="D109:AG109">SUM(D97:D99)</f>
        <v>3581</v>
      </c>
      <c r="E109" s="68">
        <f t="shared" si="24"/>
        <v>3795</v>
      </c>
      <c r="F109" s="68">
        <f t="shared" si="24"/>
        <v>3807</v>
      </c>
      <c r="G109" s="68">
        <f t="shared" si="24"/>
        <v>3905</v>
      </c>
      <c r="H109" s="68">
        <f t="shared" si="24"/>
        <v>3958</v>
      </c>
      <c r="I109" s="68">
        <f t="shared" si="24"/>
        <v>3844</v>
      </c>
      <c r="J109" s="68">
        <f t="shared" si="24"/>
        <v>3528</v>
      </c>
      <c r="K109" s="68">
        <f t="shared" si="24"/>
        <v>4182</v>
      </c>
      <c r="L109" s="68">
        <f t="shared" si="24"/>
        <v>3869</v>
      </c>
      <c r="M109" s="68">
        <f t="shared" si="24"/>
        <v>4066</v>
      </c>
      <c r="N109" s="68">
        <f t="shared" si="24"/>
        <v>4002</v>
      </c>
      <c r="O109" s="68">
        <f t="shared" si="24"/>
        <v>3856</v>
      </c>
      <c r="P109" s="68">
        <f t="shared" si="24"/>
        <v>3872</v>
      </c>
      <c r="Q109" s="68">
        <f t="shared" si="24"/>
        <v>3967</v>
      </c>
      <c r="R109" s="68">
        <f t="shared" si="24"/>
        <v>3948</v>
      </c>
      <c r="S109" s="68">
        <f t="shared" si="24"/>
        <v>3974</v>
      </c>
      <c r="T109" s="68">
        <f t="shared" si="24"/>
        <v>4089</v>
      </c>
      <c r="U109" s="68">
        <f t="shared" si="24"/>
        <v>3944</v>
      </c>
      <c r="V109" s="68">
        <f t="shared" si="24"/>
        <v>3815</v>
      </c>
      <c r="W109" s="68">
        <f t="shared" si="24"/>
        <v>4069</v>
      </c>
      <c r="X109" s="68">
        <f t="shared" si="24"/>
        <v>3680</v>
      </c>
      <c r="Y109" s="68">
        <f t="shared" si="24"/>
        <v>3943</v>
      </c>
      <c r="Z109" s="68">
        <f t="shared" si="24"/>
        <v>3900</v>
      </c>
      <c r="AA109" s="68">
        <f t="shared" si="24"/>
        <v>3691</v>
      </c>
      <c r="AB109" s="68">
        <f t="shared" si="24"/>
        <v>3831</v>
      </c>
      <c r="AC109" s="68">
        <f t="shared" si="24"/>
        <v>3598</v>
      </c>
      <c r="AD109" s="68">
        <f t="shared" si="24"/>
        <v>3991</v>
      </c>
      <c r="AE109" s="68">
        <f t="shared" si="24"/>
        <v>3916</v>
      </c>
      <c r="AF109" s="68">
        <f t="shared" si="24"/>
        <v>3689</v>
      </c>
      <c r="AG109" s="68">
        <f t="shared" si="24"/>
        <v>4120</v>
      </c>
      <c r="AH109" s="58" t="e">
        <f>#REF!-#REF!</f>
        <v>#REF!</v>
      </c>
    </row>
    <row r="110" spans="2:34" s="14" customFormat="1" ht="13.5" thickBot="1">
      <c r="B110" s="64" t="s">
        <v>40</v>
      </c>
      <c r="C110" s="66">
        <f>C97+C98+C100+C101+C102</f>
        <v>6567</v>
      </c>
      <c r="D110" s="66">
        <f aca="true" t="shared" si="25" ref="D110:AG110">D97+D98+D100+D101+D102</f>
        <v>6205</v>
      </c>
      <c r="E110" s="66">
        <f t="shared" si="25"/>
        <v>6502</v>
      </c>
      <c r="F110" s="66">
        <f t="shared" si="25"/>
        <v>6600</v>
      </c>
      <c r="G110" s="66">
        <f t="shared" si="25"/>
        <v>6837</v>
      </c>
      <c r="H110" s="66">
        <f t="shared" si="25"/>
        <v>7009</v>
      </c>
      <c r="I110" s="66">
        <f t="shared" si="25"/>
        <v>6857</v>
      </c>
      <c r="J110" s="66">
        <f t="shared" si="25"/>
        <v>6379</v>
      </c>
      <c r="K110" s="66">
        <f t="shared" si="25"/>
        <v>7576</v>
      </c>
      <c r="L110" s="66">
        <f t="shared" si="25"/>
        <v>7130</v>
      </c>
      <c r="M110" s="66">
        <f t="shared" si="25"/>
        <v>7402</v>
      </c>
      <c r="N110" s="66">
        <f t="shared" si="25"/>
        <v>7218</v>
      </c>
      <c r="O110" s="66">
        <f t="shared" si="25"/>
        <v>7023</v>
      </c>
      <c r="P110" s="66">
        <f t="shared" si="25"/>
        <v>7091</v>
      </c>
      <c r="Q110" s="66">
        <f t="shared" si="25"/>
        <v>7203</v>
      </c>
      <c r="R110" s="66">
        <f t="shared" si="25"/>
        <v>7278</v>
      </c>
      <c r="S110" s="66">
        <f t="shared" si="25"/>
        <v>7465</v>
      </c>
      <c r="T110" s="66">
        <f t="shared" si="25"/>
        <v>7637</v>
      </c>
      <c r="U110" s="66">
        <f t="shared" si="25"/>
        <v>7422</v>
      </c>
      <c r="V110" s="66">
        <f t="shared" si="25"/>
        <v>7367</v>
      </c>
      <c r="W110" s="66">
        <f t="shared" si="25"/>
        <v>7868</v>
      </c>
      <c r="X110" s="66">
        <f t="shared" si="25"/>
        <v>7328</v>
      </c>
      <c r="Y110" s="66">
        <f t="shared" si="25"/>
        <v>7869</v>
      </c>
      <c r="Z110" s="66">
        <f t="shared" si="25"/>
        <v>7855</v>
      </c>
      <c r="AA110" s="66">
        <f t="shared" si="25"/>
        <v>7495</v>
      </c>
      <c r="AB110" s="66">
        <f t="shared" si="25"/>
        <v>7728</v>
      </c>
      <c r="AC110" s="66">
        <f t="shared" si="25"/>
        <v>7444</v>
      </c>
      <c r="AD110" s="66">
        <f t="shared" si="25"/>
        <v>8058</v>
      </c>
      <c r="AE110" s="66">
        <f t="shared" si="25"/>
        <v>7887</v>
      </c>
      <c r="AF110" s="66">
        <f t="shared" si="25"/>
        <v>7543</v>
      </c>
      <c r="AG110" s="66">
        <f t="shared" si="25"/>
        <v>8222</v>
      </c>
      <c r="AH110" s="58" t="e">
        <f>#REF!-#REF!</f>
        <v>#REF!</v>
      </c>
    </row>
    <row r="111" spans="2:33" s="14" customFormat="1" ht="13.5" thickTop="1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2:33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2:33" ht="12.75"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</row>
    <row r="114" spans="2:33" ht="13.5" thickBot="1">
      <c r="B114" s="57" t="s">
        <v>0</v>
      </c>
      <c r="C114" s="55">
        <v>38169</v>
      </c>
      <c r="D114" s="55">
        <v>38200</v>
      </c>
      <c r="E114" s="55">
        <v>38231</v>
      </c>
      <c r="F114" s="55">
        <v>38261</v>
      </c>
      <c r="G114" s="55">
        <v>38292</v>
      </c>
      <c r="H114" s="55">
        <v>38322</v>
      </c>
      <c r="I114" s="55">
        <v>38353</v>
      </c>
      <c r="J114" s="55">
        <v>38384</v>
      </c>
      <c r="K114" s="55">
        <v>38412</v>
      </c>
      <c r="L114" s="55">
        <v>38443</v>
      </c>
      <c r="M114" s="55">
        <v>38473</v>
      </c>
      <c r="N114" s="55">
        <v>38504</v>
      </c>
      <c r="O114" s="55">
        <v>38534</v>
      </c>
      <c r="P114" s="55">
        <v>38565</v>
      </c>
      <c r="Q114" s="55">
        <v>38596</v>
      </c>
      <c r="R114" s="55">
        <v>38626</v>
      </c>
      <c r="S114" s="55">
        <v>38657</v>
      </c>
      <c r="T114" s="55">
        <v>38687</v>
      </c>
      <c r="U114" s="55">
        <v>38718</v>
      </c>
      <c r="V114" s="55">
        <v>38749</v>
      </c>
      <c r="W114" s="55">
        <v>38777</v>
      </c>
      <c r="X114" s="55">
        <v>38808</v>
      </c>
      <c r="Y114" s="55">
        <v>38838</v>
      </c>
      <c r="Z114" s="55">
        <v>38869</v>
      </c>
      <c r="AA114" s="55">
        <v>38899</v>
      </c>
      <c r="AB114" s="55">
        <v>38930</v>
      </c>
      <c r="AC114" s="55">
        <v>38961</v>
      </c>
      <c r="AD114" s="55">
        <v>38991</v>
      </c>
      <c r="AE114" s="55">
        <v>39022</v>
      </c>
      <c r="AF114" s="55">
        <v>39052</v>
      </c>
      <c r="AG114" s="55">
        <v>39083</v>
      </c>
    </row>
    <row r="115" spans="2:33" ht="13.5" thickTop="1">
      <c r="B115" s="30" t="s">
        <v>27</v>
      </c>
      <c r="C115" s="31">
        <f aca="true" t="shared" si="26" ref="C115:C127">C97/C$108</f>
        <v>0.1750503018108652</v>
      </c>
      <c r="D115" s="31">
        <f aca="true" t="shared" si="27" ref="D115:R115">D97/D$108</f>
        <v>0.1769733534439417</v>
      </c>
      <c r="E115" s="31">
        <f t="shared" si="27"/>
        <v>0.17448943031171624</v>
      </c>
      <c r="F115" s="31">
        <f t="shared" si="27"/>
        <v>0.17192857987466004</v>
      </c>
      <c r="G115" s="31">
        <f t="shared" si="27"/>
        <v>0.17055675737219628</v>
      </c>
      <c r="H115" s="31">
        <f t="shared" si="27"/>
        <v>0.16994633273703041</v>
      </c>
      <c r="I115" s="31">
        <f t="shared" si="27"/>
        <v>0.16885040446621852</v>
      </c>
      <c r="J115" s="31">
        <f t="shared" si="27"/>
        <v>0.16558401764922173</v>
      </c>
      <c r="K115" s="31">
        <f t="shared" si="27"/>
        <v>0.16595223515003063</v>
      </c>
      <c r="L115" s="31">
        <f t="shared" si="27"/>
        <v>0.16317900899924104</v>
      </c>
      <c r="M115" s="31">
        <f t="shared" si="27"/>
        <v>0.16763969974979148</v>
      </c>
      <c r="N115" s="31">
        <f t="shared" si="27"/>
        <v>0.16962671487823036</v>
      </c>
      <c r="O115" s="31">
        <f t="shared" si="27"/>
        <v>0.16454871293580972</v>
      </c>
      <c r="P115" s="31">
        <f t="shared" si="27"/>
        <v>0.17212936835250706</v>
      </c>
      <c r="Q115" s="31">
        <f t="shared" si="27"/>
        <v>0.16696895337672038</v>
      </c>
      <c r="R115" s="31">
        <f t="shared" si="27"/>
        <v>0.16610384128324188</v>
      </c>
      <c r="S115" s="31">
        <f aca="true" t="shared" si="28" ref="S115:AB115">S97/S$108</f>
        <v>0.1678343292808572</v>
      </c>
      <c r="T115" s="31">
        <f t="shared" si="28"/>
        <v>0.1655883542256369</v>
      </c>
      <c r="U115" s="31">
        <f t="shared" si="28"/>
        <v>0.16416830352527653</v>
      </c>
      <c r="V115" s="31">
        <f t="shared" si="28"/>
        <v>0.1633761621226366</v>
      </c>
      <c r="W115" s="31">
        <f t="shared" si="28"/>
        <v>0.1624548736462094</v>
      </c>
      <c r="X115" s="31">
        <f t="shared" si="28"/>
        <v>0.1556554463725695</v>
      </c>
      <c r="Y115" s="31">
        <f t="shared" si="28"/>
        <v>0.15418929402637704</v>
      </c>
      <c r="Z115" s="31">
        <f t="shared" si="28"/>
        <v>0.1580275674626286</v>
      </c>
      <c r="AA115" s="31">
        <f t="shared" si="28"/>
        <v>0.15399471437284</v>
      </c>
      <c r="AB115" s="31">
        <f t="shared" si="28"/>
        <v>0.1549826474962816</v>
      </c>
      <c r="AC115" s="31">
        <f aca="true" t="shared" si="29" ref="AC115:AG123">AC97/AC$108</f>
        <v>0.15524504263844652</v>
      </c>
      <c r="AD115" s="31">
        <f t="shared" si="29"/>
        <v>0.15767989367761534</v>
      </c>
      <c r="AE115" s="31">
        <f t="shared" si="29"/>
        <v>0.1572491065391674</v>
      </c>
      <c r="AF115" s="31">
        <f t="shared" si="29"/>
        <v>0.15428976123027113</v>
      </c>
      <c r="AG115" s="31">
        <f t="shared" si="29"/>
        <v>0.15627889772517106</v>
      </c>
    </row>
    <row r="116" spans="2:33" ht="12.75">
      <c r="B116" s="22" t="s">
        <v>28</v>
      </c>
      <c r="C116" s="27">
        <f t="shared" si="26"/>
        <v>0.28251864125932064</v>
      </c>
      <c r="D116" s="27">
        <f aca="true" t="shared" si="30" ref="D116:R116">D98/D$108</f>
        <v>0.2731271995977878</v>
      </c>
      <c r="E116" s="27">
        <f t="shared" si="30"/>
        <v>0.2787531350770333</v>
      </c>
      <c r="F116" s="27">
        <f t="shared" si="30"/>
        <v>0.2782310512001892</v>
      </c>
      <c r="G116" s="27">
        <f t="shared" si="30"/>
        <v>0.2740521461915063</v>
      </c>
      <c r="H116" s="27">
        <f t="shared" si="30"/>
        <v>0.27258497316636854</v>
      </c>
      <c r="I116" s="27">
        <f t="shared" si="30"/>
        <v>0.26911245300216474</v>
      </c>
      <c r="J116" s="27">
        <f t="shared" si="30"/>
        <v>0.2668219144503003</v>
      </c>
      <c r="K116" s="27">
        <f t="shared" si="30"/>
        <v>0.2608695652173913</v>
      </c>
      <c r="L116" s="27">
        <f t="shared" si="30"/>
        <v>0.2563157324081102</v>
      </c>
      <c r="M116" s="27">
        <f t="shared" si="30"/>
        <v>0.256255212677231</v>
      </c>
      <c r="N116" s="27">
        <f t="shared" si="30"/>
        <v>0.25598213336169306</v>
      </c>
      <c r="O116" s="27">
        <f t="shared" si="30"/>
        <v>0.25426306071467364</v>
      </c>
      <c r="P116" s="27">
        <f t="shared" si="30"/>
        <v>0.24810071630128067</v>
      </c>
      <c r="Q116" s="27">
        <f t="shared" si="30"/>
        <v>0.2562680038408194</v>
      </c>
      <c r="R116" s="27">
        <f t="shared" si="30"/>
        <v>0.25052764879696077</v>
      </c>
      <c r="S116" s="27">
        <f aca="true" t="shared" si="31" ref="S116:AB116">S98/S$108</f>
        <v>0.24160313208324746</v>
      </c>
      <c r="T116" s="27">
        <f t="shared" si="31"/>
        <v>0.24777598059037606</v>
      </c>
      <c r="U116" s="27">
        <f t="shared" si="31"/>
        <v>0.24356456114959166</v>
      </c>
      <c r="V116" s="27">
        <f t="shared" si="31"/>
        <v>0.235140499321007</v>
      </c>
      <c r="W116" s="27">
        <f t="shared" si="31"/>
        <v>0.23455946921650891</v>
      </c>
      <c r="X116" s="27">
        <f t="shared" si="31"/>
        <v>0.22904035124398914</v>
      </c>
      <c r="Y116" s="27">
        <f t="shared" si="31"/>
        <v>0.22818076027928627</v>
      </c>
      <c r="Z116" s="27">
        <f t="shared" si="31"/>
        <v>0.21966608425548437</v>
      </c>
      <c r="AA116" s="27">
        <f t="shared" si="31"/>
        <v>0.21915023378735515</v>
      </c>
      <c r="AB116" s="27">
        <f t="shared" si="31"/>
        <v>0.22191373326722855</v>
      </c>
      <c r="AC116" s="27">
        <f t="shared" si="29"/>
        <v>0.21031542176101922</v>
      </c>
      <c r="AD116" s="27">
        <f t="shared" si="29"/>
        <v>0.2151129675337004</v>
      </c>
      <c r="AE116" s="27">
        <f t="shared" si="29"/>
        <v>0.2134646962233169</v>
      </c>
      <c r="AF116" s="27">
        <f t="shared" si="29"/>
        <v>0.2103399433427762</v>
      </c>
      <c r="AG116" s="27">
        <f t="shared" si="29"/>
        <v>0.21490660255224708</v>
      </c>
    </row>
    <row r="117" spans="2:33" ht="12.75">
      <c r="B117" s="22" t="s">
        <v>39</v>
      </c>
      <c r="C117" s="27">
        <f t="shared" si="26"/>
        <v>0</v>
      </c>
      <c r="D117" s="27">
        <f aca="true" t="shared" si="32" ref="D117:R117">D99/D$108</f>
        <v>0</v>
      </c>
      <c r="E117" s="27">
        <f t="shared" si="32"/>
        <v>0</v>
      </c>
      <c r="F117" s="27">
        <f t="shared" si="32"/>
        <v>0</v>
      </c>
      <c r="G117" s="27">
        <f t="shared" si="32"/>
        <v>0</v>
      </c>
      <c r="H117" s="27">
        <f t="shared" si="32"/>
        <v>0</v>
      </c>
      <c r="I117" s="27">
        <f t="shared" si="32"/>
        <v>0</v>
      </c>
      <c r="J117" s="27">
        <f t="shared" si="32"/>
        <v>0</v>
      </c>
      <c r="K117" s="27">
        <f t="shared" si="32"/>
        <v>0</v>
      </c>
      <c r="L117" s="27">
        <f t="shared" si="32"/>
        <v>0</v>
      </c>
      <c r="M117" s="27">
        <f t="shared" si="32"/>
        <v>0</v>
      </c>
      <c r="N117" s="27">
        <f t="shared" si="32"/>
        <v>0</v>
      </c>
      <c r="O117" s="27">
        <f t="shared" si="32"/>
        <v>0</v>
      </c>
      <c r="P117" s="27">
        <f t="shared" si="32"/>
        <v>0</v>
      </c>
      <c r="Q117" s="27">
        <f t="shared" si="32"/>
        <v>0</v>
      </c>
      <c r="R117" s="27">
        <f t="shared" si="32"/>
        <v>0</v>
      </c>
      <c r="S117" s="27">
        <f aca="true" t="shared" si="33" ref="S117:AB117">S99/S$108</f>
        <v>0</v>
      </c>
      <c r="T117" s="27">
        <f t="shared" si="33"/>
        <v>0</v>
      </c>
      <c r="U117" s="27">
        <f t="shared" si="33"/>
        <v>0</v>
      </c>
      <c r="V117" s="27">
        <f t="shared" si="33"/>
        <v>0</v>
      </c>
      <c r="W117" s="27">
        <f t="shared" si="33"/>
        <v>0</v>
      </c>
      <c r="X117" s="27">
        <f t="shared" si="33"/>
        <v>0</v>
      </c>
      <c r="Y117" s="27">
        <f t="shared" si="33"/>
        <v>0</v>
      </c>
      <c r="Z117" s="27">
        <f t="shared" si="33"/>
        <v>0.0008736167734420501</v>
      </c>
      <c r="AA117" s="27">
        <f t="shared" si="33"/>
        <v>0.0020329335230737954</v>
      </c>
      <c r="AB117" s="27">
        <f t="shared" si="33"/>
        <v>0.002974714923153198</v>
      </c>
      <c r="AC117" s="27">
        <f t="shared" si="29"/>
        <v>0.0041097297852666186</v>
      </c>
      <c r="AD117" s="27">
        <f t="shared" si="29"/>
        <v>0.006075564837668502</v>
      </c>
      <c r="AE117" s="27">
        <f t="shared" si="29"/>
        <v>0.007534048101999421</v>
      </c>
      <c r="AF117" s="27">
        <f t="shared" si="29"/>
        <v>0.008599757183326588</v>
      </c>
      <c r="AG117" s="27">
        <f t="shared" si="29"/>
        <v>0.009802108378028482</v>
      </c>
    </row>
    <row r="118" spans="2:33" ht="12.75">
      <c r="B118" s="22" t="s">
        <v>29</v>
      </c>
      <c r="C118" s="27">
        <f t="shared" si="26"/>
        <v>0.060243815836193634</v>
      </c>
      <c r="D118" s="27">
        <f aca="true" t="shared" si="34" ref="D118:R118">D100/D$108</f>
        <v>0.06246857717445953</v>
      </c>
      <c r="E118" s="27">
        <f t="shared" si="34"/>
        <v>0.0600740475337394</v>
      </c>
      <c r="F118" s="27">
        <f t="shared" si="34"/>
        <v>0.06266997753340428</v>
      </c>
      <c r="G118" s="27">
        <f t="shared" si="34"/>
        <v>0.06239325970625071</v>
      </c>
      <c r="H118" s="27">
        <f t="shared" si="34"/>
        <v>0.06440071556350627</v>
      </c>
      <c r="I118" s="27">
        <f t="shared" si="34"/>
        <v>0.0653981998404922</v>
      </c>
      <c r="J118" s="27">
        <f t="shared" si="34"/>
        <v>0.06569432528496139</v>
      </c>
      <c r="K118" s="27">
        <f t="shared" si="34"/>
        <v>0.06450295978771178</v>
      </c>
      <c r="L118" s="27">
        <f t="shared" si="34"/>
        <v>0.06613900032527377</v>
      </c>
      <c r="M118" s="27">
        <f t="shared" si="34"/>
        <v>0.06432443703085905</v>
      </c>
      <c r="N118" s="27">
        <f t="shared" si="34"/>
        <v>0.06412846963734978</v>
      </c>
      <c r="O118" s="27">
        <f t="shared" si="34"/>
        <v>0.06386445096122516</v>
      </c>
      <c r="P118" s="27">
        <f t="shared" si="34"/>
        <v>0.06338181028869112</v>
      </c>
      <c r="Q118" s="27">
        <f t="shared" si="34"/>
        <v>0.06070628400725488</v>
      </c>
      <c r="R118" s="27">
        <f t="shared" si="34"/>
        <v>0.06331785563528915</v>
      </c>
      <c r="S118" s="27">
        <f aca="true" t="shared" si="35" ref="S118:AB118">S100/S$108</f>
        <v>0.06470224603338141</v>
      </c>
      <c r="T118" s="27">
        <f t="shared" si="35"/>
        <v>0.06500202183582693</v>
      </c>
      <c r="U118" s="27">
        <f t="shared" si="35"/>
        <v>0.06595678693269927</v>
      </c>
      <c r="V118" s="27">
        <f t="shared" si="35"/>
        <v>0.0668546954977541</v>
      </c>
      <c r="W118" s="27">
        <f t="shared" si="35"/>
        <v>0.06332325104888281</v>
      </c>
      <c r="X118" s="27">
        <f t="shared" si="35"/>
        <v>0.06355843612795317</v>
      </c>
      <c r="Y118" s="27">
        <f t="shared" si="35"/>
        <v>0.06089992242048099</v>
      </c>
      <c r="Z118" s="27">
        <f t="shared" si="35"/>
        <v>0.05960007765482431</v>
      </c>
      <c r="AA118" s="27">
        <f t="shared" si="35"/>
        <v>0.061496239072982316</v>
      </c>
      <c r="AB118" s="27">
        <f t="shared" si="35"/>
        <v>0.0600892414476946</v>
      </c>
      <c r="AC118" s="27">
        <f t="shared" si="29"/>
        <v>0.05928285215247098</v>
      </c>
      <c r="AD118" s="27">
        <f t="shared" si="29"/>
        <v>0.06255933168786786</v>
      </c>
      <c r="AE118" s="27">
        <f t="shared" si="29"/>
        <v>0.0581473968897904</v>
      </c>
      <c r="AF118" s="27">
        <f t="shared" si="29"/>
        <v>0.05888304330230676</v>
      </c>
      <c r="AG118" s="27">
        <f t="shared" si="29"/>
        <v>0.05483632328463103</v>
      </c>
    </row>
    <row r="119" spans="2:33" ht="12.75">
      <c r="B119" s="22" t="s">
        <v>30</v>
      </c>
      <c r="C119" s="27">
        <f t="shared" si="26"/>
        <v>0.23351875961652266</v>
      </c>
      <c r="D119" s="27">
        <f aca="true" t="shared" si="36" ref="D119:R119">D101/D$108</f>
        <v>0.24057315233785823</v>
      </c>
      <c r="E119" s="27">
        <f t="shared" si="36"/>
        <v>0.23742983399020662</v>
      </c>
      <c r="F119" s="27">
        <f t="shared" si="36"/>
        <v>0.2380276693863072</v>
      </c>
      <c r="G119" s="27">
        <f t="shared" si="36"/>
        <v>0.24035067744506433</v>
      </c>
      <c r="H119" s="27">
        <f t="shared" si="36"/>
        <v>0.24440966010733453</v>
      </c>
      <c r="I119" s="27">
        <f t="shared" si="36"/>
        <v>0.24199612623903383</v>
      </c>
      <c r="J119" s="27">
        <f t="shared" si="36"/>
        <v>0.2485598725333987</v>
      </c>
      <c r="K119" s="27">
        <f t="shared" si="36"/>
        <v>0.24464176362522963</v>
      </c>
      <c r="L119" s="27">
        <f t="shared" si="36"/>
        <v>0.2500271061476743</v>
      </c>
      <c r="M119" s="27">
        <f t="shared" si="36"/>
        <v>0.24384904086738948</v>
      </c>
      <c r="N119" s="27">
        <f t="shared" si="36"/>
        <v>0.23885993831755822</v>
      </c>
      <c r="O119" s="27">
        <f t="shared" si="36"/>
        <v>0.24090366025849896</v>
      </c>
      <c r="P119" s="27">
        <f t="shared" si="36"/>
        <v>0.2447362708921207</v>
      </c>
      <c r="Q119" s="27">
        <f t="shared" si="36"/>
        <v>0.24271844660194175</v>
      </c>
      <c r="R119" s="27">
        <f t="shared" si="36"/>
        <v>0.24451245251160827</v>
      </c>
      <c r="S119" s="27">
        <f aca="true" t="shared" si="37" ref="S119:AB119">S101/S$108</f>
        <v>0.24922728209355038</v>
      </c>
      <c r="T119" s="27">
        <f t="shared" si="37"/>
        <v>0.24767488879902952</v>
      </c>
      <c r="U119" s="27">
        <f t="shared" si="37"/>
        <v>0.24749302181329474</v>
      </c>
      <c r="V119" s="27">
        <f t="shared" si="37"/>
        <v>0.25122741042515406</v>
      </c>
      <c r="W119" s="27">
        <f t="shared" si="37"/>
        <v>0.24695092204117475</v>
      </c>
      <c r="X119" s="27">
        <f t="shared" si="37"/>
        <v>0.2532929123980765</v>
      </c>
      <c r="Y119" s="27">
        <f t="shared" si="37"/>
        <v>0.24922420480993018</v>
      </c>
      <c r="Z119" s="27">
        <f t="shared" si="37"/>
        <v>0.24791302659677733</v>
      </c>
      <c r="AA119" s="27">
        <f t="shared" si="37"/>
        <v>0.24628989632039033</v>
      </c>
      <c r="AB119" s="27">
        <f t="shared" si="37"/>
        <v>0.24769459593455628</v>
      </c>
      <c r="AC119" s="27">
        <f t="shared" si="29"/>
        <v>0.24771396280694544</v>
      </c>
      <c r="AD119" s="27">
        <f t="shared" si="29"/>
        <v>0.23998481108790584</v>
      </c>
      <c r="AE119" s="27">
        <f t="shared" si="29"/>
        <v>0.23799864773495605</v>
      </c>
      <c r="AF119" s="27">
        <f t="shared" si="29"/>
        <v>0.2442331040064751</v>
      </c>
      <c r="AG119" s="27">
        <f t="shared" si="29"/>
        <v>0.23636027371925283</v>
      </c>
    </row>
    <row r="120" spans="2:33" ht="12.75">
      <c r="B120" s="22" t="s">
        <v>31</v>
      </c>
      <c r="C120" s="27">
        <f t="shared" si="26"/>
        <v>0.025920227245827907</v>
      </c>
      <c r="D120" s="27">
        <f aca="true" t="shared" si="38" ref="D120:R120">D102/D$108</f>
        <v>0.026772247360482653</v>
      </c>
      <c r="E120" s="27">
        <f t="shared" si="38"/>
        <v>0.025797205302758867</v>
      </c>
      <c r="F120" s="27">
        <f t="shared" si="38"/>
        <v>0.02956131015726617</v>
      </c>
      <c r="G120" s="27">
        <f t="shared" si="38"/>
        <v>0.03108277353979278</v>
      </c>
      <c r="H120" s="27">
        <f t="shared" si="38"/>
        <v>0.03231216457960644</v>
      </c>
      <c r="I120" s="27">
        <f t="shared" si="38"/>
        <v>0.0358892560100262</v>
      </c>
      <c r="J120" s="27">
        <f t="shared" si="38"/>
        <v>0.035175879396984924</v>
      </c>
      <c r="K120" s="27">
        <f t="shared" si="38"/>
        <v>0.03725250051030823</v>
      </c>
      <c r="L120" s="27">
        <f t="shared" si="38"/>
        <v>0.03740648379052369</v>
      </c>
      <c r="M120" s="27">
        <f t="shared" si="38"/>
        <v>0.039616346955796494</v>
      </c>
      <c r="N120" s="27">
        <f t="shared" si="38"/>
        <v>0.03903009677762416</v>
      </c>
      <c r="O120" s="27">
        <f t="shared" si="38"/>
        <v>0.0392092972738134</v>
      </c>
      <c r="P120" s="27">
        <f t="shared" si="38"/>
        <v>0.0412415888864771</v>
      </c>
      <c r="Q120" s="27">
        <f t="shared" si="38"/>
        <v>0.041822255414488425</v>
      </c>
      <c r="R120" s="27">
        <f t="shared" si="38"/>
        <v>0.04358379062895736</v>
      </c>
      <c r="S120" s="27">
        <f aca="true" t="shared" si="39" ref="S120:AB120">S102/S$108</f>
        <v>0.04574490006181743</v>
      </c>
      <c r="T120" s="27">
        <f t="shared" si="39"/>
        <v>0.04599676506267691</v>
      </c>
      <c r="U120" s="27">
        <f t="shared" si="39"/>
        <v>0.04610772252662049</v>
      </c>
      <c r="V120" s="27">
        <f t="shared" si="39"/>
        <v>0.052961454089627075</v>
      </c>
      <c r="W120" s="27">
        <f t="shared" si="39"/>
        <v>0.06039613620841058</v>
      </c>
      <c r="X120" s="27">
        <f t="shared" si="39"/>
        <v>0.06449926824168932</v>
      </c>
      <c r="Y120" s="27">
        <f t="shared" si="39"/>
        <v>0.07059736229635376</v>
      </c>
      <c r="Z120" s="27">
        <f t="shared" si="39"/>
        <v>0.07726655018443021</v>
      </c>
      <c r="AA120" s="27">
        <f t="shared" si="39"/>
        <v>0.08091075421833706</v>
      </c>
      <c r="AB120" s="27">
        <f t="shared" si="39"/>
        <v>0.08160634605850273</v>
      </c>
      <c r="AC120" s="27">
        <f t="shared" si="29"/>
        <v>0.09226343367923559</v>
      </c>
      <c r="AD120" s="27">
        <f t="shared" si="29"/>
        <v>0.0896145813556104</v>
      </c>
      <c r="AE120" s="27">
        <f t="shared" si="29"/>
        <v>0.0949483241572491</v>
      </c>
      <c r="AF120" s="27">
        <f t="shared" si="29"/>
        <v>0.09540671792796439</v>
      </c>
      <c r="AG120" s="27">
        <f t="shared" si="29"/>
        <v>0.09792861105973738</v>
      </c>
    </row>
    <row r="121" spans="2:33" ht="12.75">
      <c r="B121" s="22" t="s">
        <v>32</v>
      </c>
      <c r="C121" s="27">
        <f t="shared" si="26"/>
        <v>0</v>
      </c>
      <c r="D121" s="27">
        <f aca="true" t="shared" si="40" ref="D121:R121">D103/D$108</f>
        <v>0</v>
      </c>
      <c r="E121" s="27">
        <f t="shared" si="40"/>
        <v>0</v>
      </c>
      <c r="F121" s="27">
        <f t="shared" si="40"/>
        <v>0</v>
      </c>
      <c r="G121" s="27">
        <f t="shared" si="40"/>
        <v>0</v>
      </c>
      <c r="H121" s="27">
        <f t="shared" si="40"/>
        <v>0</v>
      </c>
      <c r="I121" s="27">
        <f t="shared" si="40"/>
        <v>0.0006836048763814515</v>
      </c>
      <c r="J121" s="27">
        <f t="shared" si="40"/>
        <v>0.0052702537075622015</v>
      </c>
      <c r="K121" s="27">
        <f t="shared" si="40"/>
        <v>0.01224739742804654</v>
      </c>
      <c r="L121" s="27">
        <f t="shared" si="40"/>
        <v>0.01680581155806137</v>
      </c>
      <c r="M121" s="27">
        <f t="shared" si="40"/>
        <v>0.0201209341117598</v>
      </c>
      <c r="N121" s="27">
        <f t="shared" si="40"/>
        <v>0.022971392108901416</v>
      </c>
      <c r="O121" s="27">
        <f t="shared" si="40"/>
        <v>0.02802215705441512</v>
      </c>
      <c r="P121" s="27">
        <f t="shared" si="40"/>
        <v>0.02821792923811591</v>
      </c>
      <c r="Q121" s="27">
        <f t="shared" si="40"/>
        <v>0.028912834738077455</v>
      </c>
      <c r="R121" s="27">
        <f t="shared" si="40"/>
        <v>0.029442802870409457</v>
      </c>
      <c r="S121" s="27">
        <f aca="true" t="shared" si="41" ref="S121:AB121">S103/S$108</f>
        <v>0.03132083247475788</v>
      </c>
      <c r="T121" s="27">
        <f t="shared" si="41"/>
        <v>0.03346138293570562</v>
      </c>
      <c r="U121" s="27">
        <f t="shared" si="41"/>
        <v>0.03535614597332782</v>
      </c>
      <c r="V121" s="27">
        <f t="shared" si="41"/>
        <v>0.03760576621748668</v>
      </c>
      <c r="W121" s="27">
        <f t="shared" si="41"/>
        <v>0.03561323055907893</v>
      </c>
      <c r="X121" s="27">
        <f t="shared" si="41"/>
        <v>0.03794689525402467</v>
      </c>
      <c r="Y121" s="27">
        <f t="shared" si="41"/>
        <v>0.036365399534522884</v>
      </c>
      <c r="Z121" s="27">
        <f t="shared" si="41"/>
        <v>0.035235876528829355</v>
      </c>
      <c r="AA121" s="27">
        <f t="shared" si="41"/>
        <v>0.03740597682455784</v>
      </c>
      <c r="AB121" s="27">
        <f t="shared" si="41"/>
        <v>0.03619236489836391</v>
      </c>
      <c r="AC121" s="27">
        <f t="shared" si="29"/>
        <v>0.03359704099455461</v>
      </c>
      <c r="AD121" s="27">
        <f t="shared" si="29"/>
        <v>0.03550408202012531</v>
      </c>
      <c r="AE121" s="27">
        <f t="shared" si="29"/>
        <v>0.038442963392253456</v>
      </c>
      <c r="AF121" s="27">
        <f t="shared" si="29"/>
        <v>0.037535410764872525</v>
      </c>
      <c r="AG121" s="27">
        <f t="shared" si="29"/>
        <v>0.03680414277788052</v>
      </c>
    </row>
    <row r="122" spans="2:33" ht="12.75">
      <c r="B122" s="22" t="s">
        <v>33</v>
      </c>
      <c r="C122" s="27">
        <f t="shared" si="26"/>
        <v>0</v>
      </c>
      <c r="D122" s="27">
        <f aca="true" t="shared" si="42" ref="D122:R122">D104/D$108</f>
        <v>0</v>
      </c>
      <c r="E122" s="27">
        <f t="shared" si="42"/>
        <v>0</v>
      </c>
      <c r="F122" s="27">
        <f t="shared" si="42"/>
        <v>0</v>
      </c>
      <c r="G122" s="27">
        <f t="shared" si="42"/>
        <v>0</v>
      </c>
      <c r="H122" s="27">
        <f t="shared" si="42"/>
        <v>0</v>
      </c>
      <c r="I122" s="27">
        <f t="shared" si="42"/>
        <v>0</v>
      </c>
      <c r="J122" s="27">
        <f t="shared" si="42"/>
        <v>0</v>
      </c>
      <c r="K122" s="27">
        <f t="shared" si="42"/>
        <v>0</v>
      </c>
      <c r="L122" s="27">
        <f t="shared" si="42"/>
        <v>0</v>
      </c>
      <c r="M122" s="27">
        <f t="shared" si="42"/>
        <v>0</v>
      </c>
      <c r="N122" s="27">
        <f t="shared" si="42"/>
        <v>0</v>
      </c>
      <c r="O122" s="27">
        <f t="shared" si="42"/>
        <v>0</v>
      </c>
      <c r="P122" s="27">
        <f t="shared" si="42"/>
        <v>0</v>
      </c>
      <c r="Q122" s="27">
        <f t="shared" si="42"/>
        <v>0</v>
      </c>
      <c r="R122" s="27">
        <f t="shared" si="42"/>
        <v>0</v>
      </c>
      <c r="S122" s="27">
        <f aca="true" t="shared" si="43" ref="S122:AB122">S104/S$108</f>
        <v>0</v>
      </c>
      <c r="T122" s="27">
        <f t="shared" si="43"/>
        <v>0</v>
      </c>
      <c r="U122" s="27">
        <f t="shared" si="43"/>
        <v>0.0005169027189083015</v>
      </c>
      <c r="V122" s="27">
        <f t="shared" si="43"/>
        <v>0.0017758278491590933</v>
      </c>
      <c r="W122" s="27">
        <f t="shared" si="43"/>
        <v>0.0037076787979315054</v>
      </c>
      <c r="X122" s="27">
        <f t="shared" si="43"/>
        <v>0.005540455780890655</v>
      </c>
      <c r="Y122" s="27">
        <f t="shared" si="43"/>
        <v>0.007757951900698216</v>
      </c>
      <c r="Z122" s="27">
        <f t="shared" si="43"/>
        <v>0.008736167734420501</v>
      </c>
      <c r="AA122" s="27">
        <f t="shared" si="43"/>
        <v>0.011486074405366944</v>
      </c>
      <c r="AB122" s="27">
        <f t="shared" si="43"/>
        <v>0.01080813088745662</v>
      </c>
      <c r="AC122" s="27">
        <f t="shared" si="29"/>
        <v>0.013048392068221514</v>
      </c>
      <c r="AD122" s="27">
        <f t="shared" si="29"/>
        <v>0.015758496297702675</v>
      </c>
      <c r="AE122" s="27">
        <f t="shared" si="29"/>
        <v>0.015647638365691104</v>
      </c>
      <c r="AF122" s="27">
        <f t="shared" si="29"/>
        <v>0.01659247268312424</v>
      </c>
      <c r="AG122" s="27">
        <f t="shared" si="29"/>
        <v>0.017662289624560755</v>
      </c>
    </row>
    <row r="123" spans="2:33" ht="12.75">
      <c r="B123" s="22" t="s">
        <v>34</v>
      </c>
      <c r="C123" s="27">
        <f t="shared" si="26"/>
        <v>0.0026038584447863654</v>
      </c>
      <c r="D123" s="27">
        <f aca="true" t="shared" si="44" ref="D123:R123">D105/D$108</f>
        <v>0.0032679738562091504</v>
      </c>
      <c r="E123" s="27">
        <f t="shared" si="44"/>
        <v>0.0027469246387196943</v>
      </c>
      <c r="F123" s="27">
        <f t="shared" si="44"/>
        <v>0.0018919238500650349</v>
      </c>
      <c r="G123" s="27">
        <f t="shared" si="44"/>
        <v>0.001935557326653763</v>
      </c>
      <c r="H123" s="27">
        <f t="shared" si="44"/>
        <v>0.00212432915921288</v>
      </c>
      <c r="I123" s="27">
        <f t="shared" si="44"/>
        <v>0.0017090121909536288</v>
      </c>
      <c r="J123" s="27">
        <f t="shared" si="44"/>
        <v>0.0018384605956612329</v>
      </c>
      <c r="K123" s="27">
        <f t="shared" si="44"/>
        <v>0.0016329863237395388</v>
      </c>
      <c r="L123" s="27">
        <f t="shared" si="44"/>
        <v>0.001734793451154722</v>
      </c>
      <c r="M123" s="27">
        <f t="shared" si="44"/>
        <v>0.001980817347789825</v>
      </c>
      <c r="N123" s="27">
        <f t="shared" si="44"/>
        <v>0.002126980750824205</v>
      </c>
      <c r="O123" s="27">
        <f t="shared" si="44"/>
        <v>0.002498099272292821</v>
      </c>
      <c r="P123" s="27">
        <f t="shared" si="44"/>
        <v>0.0024962014326025614</v>
      </c>
      <c r="Q123" s="27">
        <f t="shared" si="44"/>
        <v>0.002347167395711085</v>
      </c>
      <c r="R123" s="27">
        <f t="shared" si="44"/>
        <v>0.002321654706627269</v>
      </c>
      <c r="S123" s="27">
        <f aca="true" t="shared" si="45" ref="S123:AB123">S105/S$108</f>
        <v>0.002369668246445498</v>
      </c>
      <c r="T123" s="27">
        <f t="shared" si="45"/>
        <v>0.002426202992317024</v>
      </c>
      <c r="U123" s="27">
        <f t="shared" si="45"/>
        <v>0.0018608497880698853</v>
      </c>
      <c r="V123" s="27">
        <f t="shared" si="45"/>
        <v>0.0016713673874438526</v>
      </c>
      <c r="W123" s="27">
        <f t="shared" si="45"/>
        <v>0.0015611279149185286</v>
      </c>
      <c r="X123" s="27">
        <f t="shared" si="45"/>
        <v>0.0017771273259460589</v>
      </c>
      <c r="Y123" s="27">
        <f t="shared" si="45"/>
        <v>0.001939487975174554</v>
      </c>
      <c r="Z123" s="27">
        <f t="shared" si="45"/>
        <v>0.0019413706076490001</v>
      </c>
      <c r="AA123" s="27">
        <f t="shared" si="45"/>
        <v>0.0021345801992274853</v>
      </c>
      <c r="AB123" s="27">
        <f t="shared" si="45"/>
        <v>0.0013882002974714923</v>
      </c>
      <c r="AC123" s="27">
        <f t="shared" si="29"/>
        <v>0.0012329189355799856</v>
      </c>
      <c r="AD123" s="27">
        <f t="shared" si="29"/>
        <v>0.0013290298082399847</v>
      </c>
      <c r="AE123" s="27">
        <f t="shared" si="29"/>
        <v>0.0016420361247947454</v>
      </c>
      <c r="AF123" s="27">
        <f t="shared" si="29"/>
        <v>0.001112909753136382</v>
      </c>
      <c r="AG123" s="27">
        <f t="shared" si="29"/>
        <v>0.0012946180876641392</v>
      </c>
    </row>
    <row r="124" spans="2:33" ht="12.75">
      <c r="B124" s="89" t="s">
        <v>35</v>
      </c>
      <c r="C124" s="90">
        <f t="shared" si="26"/>
        <v>0.22014439578648362</v>
      </c>
      <c r="D124" s="90">
        <f aca="true" t="shared" si="46" ref="D124:AG124">D106/D$108</f>
        <v>0.21681749622926094</v>
      </c>
      <c r="E124" s="90">
        <f t="shared" si="46"/>
        <v>0.22070942314582587</v>
      </c>
      <c r="F124" s="90">
        <f t="shared" si="46"/>
        <v>0.21768948799810808</v>
      </c>
      <c r="G124" s="90">
        <f t="shared" si="46"/>
        <v>0.21962882841853582</v>
      </c>
      <c r="H124" s="90">
        <f t="shared" si="46"/>
        <v>0.21422182468694095</v>
      </c>
      <c r="I124" s="90">
        <f t="shared" si="46"/>
        <v>0.21636094337472941</v>
      </c>
      <c r="J124" s="90">
        <f t="shared" si="46"/>
        <v>0.21105527638190955</v>
      </c>
      <c r="K124" s="90">
        <f t="shared" si="46"/>
        <v>0.21290059195754235</v>
      </c>
      <c r="L124" s="90">
        <f t="shared" si="46"/>
        <v>0.20839206331996096</v>
      </c>
      <c r="M124" s="90">
        <f t="shared" si="46"/>
        <v>0.2062135112593828</v>
      </c>
      <c r="N124" s="90">
        <f t="shared" si="46"/>
        <v>0.2072742741678188</v>
      </c>
      <c r="O124" s="90">
        <f t="shared" si="46"/>
        <v>0.2066905615292712</v>
      </c>
      <c r="P124" s="90">
        <f t="shared" si="46"/>
        <v>0.1996961146082049</v>
      </c>
      <c r="Q124" s="90">
        <f t="shared" si="46"/>
        <v>0.20025605462498666</v>
      </c>
      <c r="R124" s="90">
        <f t="shared" si="46"/>
        <v>0.20018995356690586</v>
      </c>
      <c r="S124" s="90">
        <f t="shared" si="46"/>
        <v>0.19719760972594272</v>
      </c>
      <c r="T124" s="90">
        <f t="shared" si="46"/>
        <v>0.19207440355843106</v>
      </c>
      <c r="U124" s="90">
        <f t="shared" si="46"/>
        <v>0.1949757055722113</v>
      </c>
      <c r="V124" s="90">
        <f t="shared" si="46"/>
        <v>0.18938681708973154</v>
      </c>
      <c r="W124" s="90">
        <f t="shared" si="46"/>
        <v>0.19143331056688456</v>
      </c>
      <c r="X124" s="90">
        <f t="shared" si="46"/>
        <v>0.18868910725486096</v>
      </c>
      <c r="Y124" s="90">
        <f t="shared" si="46"/>
        <v>0.1908456167571761</v>
      </c>
      <c r="Z124" s="90">
        <f t="shared" si="46"/>
        <v>0.19073966220151428</v>
      </c>
      <c r="AA124" s="90">
        <f t="shared" si="46"/>
        <v>0.18509859727586908</v>
      </c>
      <c r="AB124" s="90">
        <f t="shared" si="46"/>
        <v>0.18235002478929102</v>
      </c>
      <c r="AC124" s="90">
        <f t="shared" si="46"/>
        <v>0.18319120517825954</v>
      </c>
      <c r="AD124" s="90">
        <f t="shared" si="46"/>
        <v>0.1763812416935637</v>
      </c>
      <c r="AE124" s="90">
        <f t="shared" si="46"/>
        <v>0.17492514247078142</v>
      </c>
      <c r="AF124" s="90">
        <f t="shared" si="46"/>
        <v>0.17300687980574667</v>
      </c>
      <c r="AG124" s="90">
        <f t="shared" si="46"/>
        <v>0.1738487146291844</v>
      </c>
    </row>
    <row r="125" spans="2:33" ht="13.5" thickBot="1">
      <c r="B125" s="24" t="s">
        <v>72</v>
      </c>
      <c r="C125" s="28">
        <f t="shared" si="26"/>
        <v>0</v>
      </c>
      <c r="D125" s="28">
        <f aca="true" t="shared" si="47" ref="D125:AG125">D107/D$108</f>
        <v>0</v>
      </c>
      <c r="E125" s="28">
        <f t="shared" si="47"/>
        <v>0</v>
      </c>
      <c r="F125" s="28">
        <f t="shared" si="47"/>
        <v>0</v>
      </c>
      <c r="G125" s="28">
        <f t="shared" si="47"/>
        <v>0</v>
      </c>
      <c r="H125" s="28">
        <f t="shared" si="47"/>
        <v>0</v>
      </c>
      <c r="I125" s="28">
        <f t="shared" si="47"/>
        <v>0</v>
      </c>
      <c r="J125" s="28">
        <f t="shared" si="47"/>
        <v>0</v>
      </c>
      <c r="K125" s="28">
        <f t="shared" si="47"/>
        <v>0</v>
      </c>
      <c r="L125" s="28">
        <f t="shared" si="47"/>
        <v>0</v>
      </c>
      <c r="M125" s="28">
        <f t="shared" si="47"/>
        <v>0</v>
      </c>
      <c r="N125" s="28">
        <f t="shared" si="47"/>
        <v>0</v>
      </c>
      <c r="O125" s="28">
        <f t="shared" si="47"/>
        <v>0</v>
      </c>
      <c r="P125" s="28">
        <f t="shared" si="47"/>
        <v>0</v>
      </c>
      <c r="Q125" s="28">
        <f t="shared" si="47"/>
        <v>0</v>
      </c>
      <c r="R125" s="28">
        <f t="shared" si="47"/>
        <v>0</v>
      </c>
      <c r="S125" s="28">
        <f t="shared" si="47"/>
        <v>0</v>
      </c>
      <c r="T125" s="28">
        <f t="shared" si="47"/>
        <v>0</v>
      </c>
      <c r="U125" s="28">
        <f t="shared" si="47"/>
        <v>0</v>
      </c>
      <c r="V125" s="28">
        <f t="shared" si="47"/>
        <v>0</v>
      </c>
      <c r="W125" s="28">
        <f t="shared" si="47"/>
        <v>0</v>
      </c>
      <c r="X125" s="28">
        <f t="shared" si="47"/>
        <v>0</v>
      </c>
      <c r="Y125" s="28">
        <f t="shared" si="47"/>
        <v>0</v>
      </c>
      <c r="Z125" s="28">
        <f t="shared" si="47"/>
        <v>0</v>
      </c>
      <c r="AA125" s="28">
        <f t="shared" si="47"/>
        <v>0</v>
      </c>
      <c r="AB125" s="28">
        <f t="shared" si="47"/>
        <v>0</v>
      </c>
      <c r="AC125" s="28">
        <f t="shared" si="47"/>
        <v>0</v>
      </c>
      <c r="AD125" s="28">
        <f t="shared" si="47"/>
        <v>0</v>
      </c>
      <c r="AE125" s="28">
        <f t="shared" si="47"/>
        <v>0</v>
      </c>
      <c r="AF125" s="28">
        <f t="shared" si="47"/>
        <v>0</v>
      </c>
      <c r="AG125" s="28">
        <f t="shared" si="47"/>
        <v>0.0002774181616423155</v>
      </c>
    </row>
    <row r="126" spans="2:33" ht="13.5" thickTop="1">
      <c r="B126" s="26" t="s">
        <v>36</v>
      </c>
      <c r="C126" s="29">
        <f t="shared" si="26"/>
        <v>1</v>
      </c>
      <c r="D126" s="29">
        <f aca="true" t="shared" si="48" ref="D126:R126">D108/D$108</f>
        <v>1</v>
      </c>
      <c r="E126" s="29">
        <f t="shared" si="48"/>
        <v>1</v>
      </c>
      <c r="F126" s="29">
        <f t="shared" si="48"/>
        <v>1</v>
      </c>
      <c r="G126" s="29">
        <f t="shared" si="48"/>
        <v>1</v>
      </c>
      <c r="H126" s="29">
        <f t="shared" si="48"/>
        <v>1</v>
      </c>
      <c r="I126" s="29">
        <f t="shared" si="48"/>
        <v>1</v>
      </c>
      <c r="J126" s="29">
        <f t="shared" si="48"/>
        <v>1</v>
      </c>
      <c r="K126" s="29">
        <f t="shared" si="48"/>
        <v>1</v>
      </c>
      <c r="L126" s="29">
        <f t="shared" si="48"/>
        <v>1</v>
      </c>
      <c r="M126" s="29">
        <f t="shared" si="48"/>
        <v>1</v>
      </c>
      <c r="N126" s="29">
        <f t="shared" si="48"/>
        <v>1</v>
      </c>
      <c r="O126" s="29">
        <f t="shared" si="48"/>
        <v>1</v>
      </c>
      <c r="P126" s="29">
        <f t="shared" si="48"/>
        <v>1</v>
      </c>
      <c r="Q126" s="29">
        <f t="shared" si="48"/>
        <v>1</v>
      </c>
      <c r="R126" s="29">
        <f t="shared" si="48"/>
        <v>1</v>
      </c>
      <c r="S126" s="29">
        <f aca="true" t="shared" si="49" ref="S126:AB126">S108/S$108</f>
        <v>1</v>
      </c>
      <c r="T126" s="29">
        <f t="shared" si="49"/>
        <v>1</v>
      </c>
      <c r="U126" s="29">
        <f t="shared" si="49"/>
        <v>1</v>
      </c>
      <c r="V126" s="29">
        <f t="shared" si="49"/>
        <v>1</v>
      </c>
      <c r="W126" s="29">
        <f t="shared" si="49"/>
        <v>1</v>
      </c>
      <c r="X126" s="29">
        <f t="shared" si="49"/>
        <v>1</v>
      </c>
      <c r="Y126" s="29">
        <f t="shared" si="49"/>
        <v>1</v>
      </c>
      <c r="Z126" s="29">
        <f t="shared" si="49"/>
        <v>1</v>
      </c>
      <c r="AA126" s="29">
        <f t="shared" si="49"/>
        <v>1</v>
      </c>
      <c r="AB126" s="29">
        <f t="shared" si="49"/>
        <v>1</v>
      </c>
      <c r="AC126" s="29">
        <f aca="true" t="shared" si="50" ref="AC126:AG127">AC108/AC$108</f>
        <v>1</v>
      </c>
      <c r="AD126" s="29">
        <f t="shared" si="50"/>
        <v>1</v>
      </c>
      <c r="AE126" s="29">
        <f t="shared" si="50"/>
        <v>1</v>
      </c>
      <c r="AF126" s="29">
        <f t="shared" si="50"/>
        <v>1</v>
      </c>
      <c r="AG126" s="29">
        <f t="shared" si="50"/>
        <v>1</v>
      </c>
    </row>
    <row r="127" spans="2:35" ht="12.75">
      <c r="B127" s="67" t="s">
        <v>37</v>
      </c>
      <c r="C127" s="69">
        <f t="shared" si="26"/>
        <v>0.4575689430701858</v>
      </c>
      <c r="D127" s="69">
        <f aca="true" t="shared" si="51" ref="D127:R127">D109/D$108</f>
        <v>0.4501005530417295</v>
      </c>
      <c r="E127" s="69">
        <f t="shared" si="51"/>
        <v>0.4532425653887496</v>
      </c>
      <c r="F127" s="69">
        <f t="shared" si="51"/>
        <v>0.45015963107484924</v>
      </c>
      <c r="G127" s="69">
        <f t="shared" si="51"/>
        <v>0.4446089035637026</v>
      </c>
      <c r="H127" s="69">
        <f t="shared" si="51"/>
        <v>0.44253130590339895</v>
      </c>
      <c r="I127" s="69">
        <f t="shared" si="51"/>
        <v>0.43796285746838326</v>
      </c>
      <c r="J127" s="69">
        <f t="shared" si="51"/>
        <v>0.432405932099522</v>
      </c>
      <c r="K127" s="69">
        <f t="shared" si="51"/>
        <v>0.4268218003674219</v>
      </c>
      <c r="L127" s="69">
        <f t="shared" si="51"/>
        <v>0.4194947414073512</v>
      </c>
      <c r="M127" s="69">
        <f t="shared" si="51"/>
        <v>0.42389491242702254</v>
      </c>
      <c r="N127" s="69">
        <f t="shared" si="51"/>
        <v>0.42560884823992345</v>
      </c>
      <c r="O127" s="69">
        <f t="shared" si="51"/>
        <v>0.41881177365048333</v>
      </c>
      <c r="P127" s="69">
        <f t="shared" si="51"/>
        <v>0.4202300846537877</v>
      </c>
      <c r="Q127" s="69">
        <f t="shared" si="51"/>
        <v>0.42323695721753973</v>
      </c>
      <c r="R127" s="69">
        <f t="shared" si="51"/>
        <v>0.4166314900802026</v>
      </c>
      <c r="S127" s="69">
        <f aca="true" t="shared" si="52" ref="S127:AB127">S109/S$108</f>
        <v>0.4094374613641047</v>
      </c>
      <c r="T127" s="69">
        <f t="shared" si="52"/>
        <v>0.4133643348160129</v>
      </c>
      <c r="U127" s="69">
        <f t="shared" si="52"/>
        <v>0.4077328646748682</v>
      </c>
      <c r="V127" s="69">
        <f t="shared" si="52"/>
        <v>0.39851666144364356</v>
      </c>
      <c r="W127" s="69">
        <f t="shared" si="52"/>
        <v>0.3970143428627183</v>
      </c>
      <c r="X127" s="69">
        <f t="shared" si="52"/>
        <v>0.38469579761655864</v>
      </c>
      <c r="Y127" s="69">
        <f t="shared" si="52"/>
        <v>0.3823700543056633</v>
      </c>
      <c r="Z127" s="69">
        <f t="shared" si="52"/>
        <v>0.37856726849155503</v>
      </c>
      <c r="AA127" s="69">
        <f t="shared" si="52"/>
        <v>0.37517788168326893</v>
      </c>
      <c r="AB127" s="69">
        <f t="shared" si="52"/>
        <v>0.3798710956866634</v>
      </c>
      <c r="AC127" s="69">
        <f t="shared" si="50"/>
        <v>0.36967019418473235</v>
      </c>
      <c r="AD127" s="69">
        <f t="shared" si="50"/>
        <v>0.37886842604898424</v>
      </c>
      <c r="AE127" s="69">
        <f t="shared" si="50"/>
        <v>0.3782478508644837</v>
      </c>
      <c r="AF127" s="69">
        <f t="shared" si="50"/>
        <v>0.37322946175637395</v>
      </c>
      <c r="AG127" s="69">
        <f t="shared" si="50"/>
        <v>0.3809876086554466</v>
      </c>
      <c r="AI127" s="105">
        <f>(AG127-AC127)/AC127</f>
        <v>0.030614895787510282</v>
      </c>
    </row>
    <row r="128" spans="2:33" s="14" customFormat="1" ht="13.5" thickBot="1">
      <c r="B128" s="64" t="s">
        <v>40</v>
      </c>
      <c r="C128" s="65">
        <f>C110/C108</f>
        <v>0.77725174576873</v>
      </c>
      <c r="D128" s="65">
        <f aca="true" t="shared" si="53" ref="D128:AB128">D110/D108</f>
        <v>0.7799145299145299</v>
      </c>
      <c r="E128" s="65">
        <f t="shared" si="53"/>
        <v>0.7765436522154544</v>
      </c>
      <c r="F128" s="65">
        <f t="shared" si="53"/>
        <v>0.7804185881518269</v>
      </c>
      <c r="G128" s="65">
        <f t="shared" si="53"/>
        <v>0.7784356142548104</v>
      </c>
      <c r="H128" s="65">
        <f t="shared" si="53"/>
        <v>0.7836538461538461</v>
      </c>
      <c r="I128" s="65">
        <f t="shared" si="53"/>
        <v>0.7812464395579355</v>
      </c>
      <c r="J128" s="65">
        <f t="shared" si="53"/>
        <v>0.781836009314867</v>
      </c>
      <c r="K128" s="65">
        <f t="shared" si="53"/>
        <v>0.7732190242906716</v>
      </c>
      <c r="L128" s="65">
        <f t="shared" si="53"/>
        <v>0.773067331670823</v>
      </c>
      <c r="M128" s="65">
        <f t="shared" si="53"/>
        <v>0.7716847372810676</v>
      </c>
      <c r="N128" s="65">
        <f t="shared" si="53"/>
        <v>0.7676273529724555</v>
      </c>
      <c r="O128" s="65">
        <f t="shared" si="53"/>
        <v>0.7627891821440208</v>
      </c>
      <c r="P128" s="65">
        <f t="shared" si="53"/>
        <v>0.7695897547210766</v>
      </c>
      <c r="Q128" s="65">
        <f t="shared" si="53"/>
        <v>0.7684839432412248</v>
      </c>
      <c r="R128" s="65">
        <f t="shared" si="53"/>
        <v>0.7680455888560574</v>
      </c>
      <c r="S128" s="65">
        <f t="shared" si="53"/>
        <v>0.7691118895528539</v>
      </c>
      <c r="T128" s="65">
        <f t="shared" si="53"/>
        <v>0.7720380105135463</v>
      </c>
      <c r="U128" s="65">
        <f t="shared" si="53"/>
        <v>0.7672903959474827</v>
      </c>
      <c r="V128" s="65">
        <f t="shared" si="53"/>
        <v>0.7695602214561789</v>
      </c>
      <c r="W128" s="65">
        <f t="shared" si="53"/>
        <v>0.7676846521611864</v>
      </c>
      <c r="X128" s="65">
        <f t="shared" si="53"/>
        <v>0.7660464143842777</v>
      </c>
      <c r="Y128" s="65">
        <f t="shared" si="53"/>
        <v>0.7630915438324283</v>
      </c>
      <c r="Z128" s="65">
        <f t="shared" si="53"/>
        <v>0.7624733061541449</v>
      </c>
      <c r="AA128" s="65">
        <f t="shared" si="53"/>
        <v>0.7618418377719048</v>
      </c>
      <c r="AB128" s="65">
        <f t="shared" si="53"/>
        <v>0.7662865642042638</v>
      </c>
      <c r="AC128" s="65">
        <f>AC110/AC108</f>
        <v>0.7648207130381177</v>
      </c>
      <c r="AD128" s="65">
        <f>AD110/AD108</f>
        <v>0.7649515853426998</v>
      </c>
      <c r="AE128" s="65">
        <f>AE110/AE108</f>
        <v>0.7618081715444799</v>
      </c>
      <c r="AF128" s="65">
        <f>AF110/AF108</f>
        <v>0.7631525698097936</v>
      </c>
      <c r="AG128" s="65">
        <f>AG110/AG108</f>
        <v>0.7603107083410394</v>
      </c>
    </row>
    <row r="129" ht="13.5" thickTop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61"/>
  <sheetViews>
    <sheetView workbookViewId="0" topLeftCell="A1">
      <selection activeCell="A3" sqref="A3"/>
    </sheetView>
  </sheetViews>
  <sheetFormatPr defaultColWidth="11.421875" defaultRowHeight="12.75"/>
  <cols>
    <col min="2" max="2" width="26.8515625" style="0" bestFit="1" customWidth="1"/>
    <col min="3" max="16" width="11.28125" style="0" bestFit="1" customWidth="1"/>
  </cols>
  <sheetData>
    <row r="1" ht="18">
      <c r="B1" s="21" t="s">
        <v>80</v>
      </c>
    </row>
    <row r="3" spans="1:33" s="70" customFormat="1" ht="39" thickBot="1">
      <c r="A3" s="72" t="s">
        <v>77</v>
      </c>
      <c r="B3" s="80" t="s">
        <v>0</v>
      </c>
      <c r="C3" s="80" t="s">
        <v>101</v>
      </c>
      <c r="D3" s="80" t="s">
        <v>102</v>
      </c>
      <c r="E3" s="80" t="s">
        <v>103</v>
      </c>
      <c r="F3" s="80" t="s">
        <v>104</v>
      </c>
      <c r="G3" s="80" t="s">
        <v>105</v>
      </c>
      <c r="H3" s="80" t="s">
        <v>113</v>
      </c>
      <c r="I3" s="80" t="s">
        <v>107</v>
      </c>
      <c r="J3" s="80" t="s">
        <v>108</v>
      </c>
      <c r="K3" s="80" t="s">
        <v>109</v>
      </c>
      <c r="L3" s="80" t="s">
        <v>110</v>
      </c>
      <c r="M3" s="80" t="s">
        <v>111</v>
      </c>
      <c r="N3" s="80" t="s">
        <v>81</v>
      </c>
      <c r="O3" s="80" t="s">
        <v>82</v>
      </c>
      <c r="P3" s="80" t="s">
        <v>83</v>
      </c>
      <c r="Q3" s="80" t="s">
        <v>84</v>
      </c>
      <c r="R3" s="80" t="s">
        <v>85</v>
      </c>
      <c r="S3" s="80" t="s">
        <v>86</v>
      </c>
      <c r="T3" s="80" t="s">
        <v>87</v>
      </c>
      <c r="U3" s="80" t="s">
        <v>88</v>
      </c>
      <c r="V3" s="80" t="s">
        <v>112</v>
      </c>
      <c r="W3" s="80" t="s">
        <v>90</v>
      </c>
      <c r="X3" s="80" t="s">
        <v>91</v>
      </c>
      <c r="Y3" s="80" t="s">
        <v>92</v>
      </c>
      <c r="Z3" s="80" t="s">
        <v>93</v>
      </c>
      <c r="AA3" s="80" t="s">
        <v>94</v>
      </c>
      <c r="AB3" s="80" t="s">
        <v>95</v>
      </c>
      <c r="AC3" s="80" t="s">
        <v>96</v>
      </c>
      <c r="AD3" s="80" t="s">
        <v>97</v>
      </c>
      <c r="AE3" s="80" t="s">
        <v>98</v>
      </c>
      <c r="AF3" s="80" t="s">
        <v>99</v>
      </c>
      <c r="AG3" s="80" t="s">
        <v>100</v>
      </c>
    </row>
    <row r="4" spans="1:33" ht="26.25" thickTop="1">
      <c r="A4" s="104">
        <v>1</v>
      </c>
      <c r="B4" s="81" t="s">
        <v>43</v>
      </c>
      <c r="C4" s="104">
        <v>0</v>
      </c>
      <c r="D4" s="104">
        <v>0</v>
      </c>
      <c r="E4" s="104">
        <v>0</v>
      </c>
      <c r="F4" s="104">
        <v>0</v>
      </c>
      <c r="G4" s="104">
        <v>0</v>
      </c>
      <c r="H4" s="104">
        <v>0</v>
      </c>
      <c r="I4" s="104">
        <v>0</v>
      </c>
      <c r="J4" s="104">
        <v>0</v>
      </c>
      <c r="K4" s="104">
        <v>0</v>
      </c>
      <c r="L4" s="104">
        <v>0</v>
      </c>
      <c r="M4" s="104">
        <v>0</v>
      </c>
      <c r="N4" s="104">
        <v>0</v>
      </c>
      <c r="O4" s="104">
        <v>0</v>
      </c>
      <c r="P4" s="104">
        <v>0</v>
      </c>
      <c r="Q4" s="104">
        <v>0</v>
      </c>
      <c r="R4" s="104">
        <v>0</v>
      </c>
      <c r="S4" s="104">
        <v>0</v>
      </c>
      <c r="T4" s="104">
        <v>1</v>
      </c>
      <c r="U4" s="104">
        <v>8</v>
      </c>
      <c r="V4" s="104">
        <v>14</v>
      </c>
      <c r="W4" s="104">
        <v>16</v>
      </c>
      <c r="X4" s="104">
        <v>21</v>
      </c>
      <c r="Y4" s="104">
        <v>22</v>
      </c>
      <c r="Z4" s="104">
        <v>26</v>
      </c>
      <c r="AA4" s="104">
        <v>21</v>
      </c>
      <c r="AB4" s="104">
        <v>27</v>
      </c>
      <c r="AC4" s="104">
        <v>35</v>
      </c>
      <c r="AD4" s="104">
        <v>46</v>
      </c>
      <c r="AE4" s="104">
        <v>40</v>
      </c>
      <c r="AF4" s="104">
        <v>34</v>
      </c>
      <c r="AG4" s="104">
        <v>38</v>
      </c>
    </row>
    <row r="5" spans="1:33" ht="25.5">
      <c r="A5" s="104">
        <v>2</v>
      </c>
      <c r="B5" s="81" t="s">
        <v>44</v>
      </c>
      <c r="C5" s="104">
        <v>1421</v>
      </c>
      <c r="D5" s="104">
        <v>1347</v>
      </c>
      <c r="E5" s="104">
        <v>1397</v>
      </c>
      <c r="F5" s="104">
        <v>1368</v>
      </c>
      <c r="G5" s="104">
        <v>1415</v>
      </c>
      <c r="H5" s="104">
        <v>1433</v>
      </c>
      <c r="I5" s="104">
        <v>1397</v>
      </c>
      <c r="J5" s="104">
        <v>1200</v>
      </c>
      <c r="K5" s="104">
        <v>1614</v>
      </c>
      <c r="L5" s="104">
        <v>1368</v>
      </c>
      <c r="M5" s="104">
        <v>1478</v>
      </c>
      <c r="N5" s="104">
        <v>1463</v>
      </c>
      <c r="O5" s="104">
        <v>1368</v>
      </c>
      <c r="P5" s="104">
        <v>1482</v>
      </c>
      <c r="Q5" s="104">
        <v>1456</v>
      </c>
      <c r="R5" s="104">
        <v>1433</v>
      </c>
      <c r="S5" s="104">
        <v>1525</v>
      </c>
      <c r="T5" s="104">
        <v>1535</v>
      </c>
      <c r="U5" s="104">
        <v>1430</v>
      </c>
      <c r="V5" s="104">
        <v>1385</v>
      </c>
      <c r="W5" s="104">
        <v>1507</v>
      </c>
      <c r="X5" s="104">
        <v>1310</v>
      </c>
      <c r="Y5" s="104">
        <v>1455</v>
      </c>
      <c r="Z5" s="104">
        <v>1481</v>
      </c>
      <c r="AA5" s="104">
        <v>1365</v>
      </c>
      <c r="AB5" s="104">
        <v>1388</v>
      </c>
      <c r="AC5" s="104">
        <v>1335</v>
      </c>
      <c r="AD5" s="104">
        <v>1504</v>
      </c>
      <c r="AE5" s="104">
        <v>1448</v>
      </c>
      <c r="AF5" s="104">
        <v>1333</v>
      </c>
      <c r="AG5" s="104">
        <v>1569</v>
      </c>
    </row>
    <row r="6" spans="1:33" ht="25.5">
      <c r="A6" s="104">
        <v>3</v>
      </c>
      <c r="B6" s="81" t="s">
        <v>45</v>
      </c>
      <c r="C6" s="104">
        <v>240</v>
      </c>
      <c r="D6" s="104">
        <v>222</v>
      </c>
      <c r="E6" s="104">
        <v>250</v>
      </c>
      <c r="F6" s="104">
        <v>241</v>
      </c>
      <c r="G6" s="104">
        <v>251</v>
      </c>
      <c r="H6" s="104">
        <v>263</v>
      </c>
      <c r="I6" s="104">
        <v>256</v>
      </c>
      <c r="J6" s="104">
        <v>241</v>
      </c>
      <c r="K6" s="104">
        <v>327</v>
      </c>
      <c r="L6" s="104">
        <v>278</v>
      </c>
      <c r="M6" s="104">
        <v>278</v>
      </c>
      <c r="N6" s="104">
        <v>279</v>
      </c>
      <c r="O6" s="104">
        <v>275</v>
      </c>
      <c r="P6" s="104">
        <v>289</v>
      </c>
      <c r="Q6" s="104">
        <v>274</v>
      </c>
      <c r="R6" s="104">
        <v>289</v>
      </c>
      <c r="S6" s="104">
        <v>272</v>
      </c>
      <c r="T6" s="104">
        <v>289</v>
      </c>
      <c r="U6" s="104">
        <v>284</v>
      </c>
      <c r="V6" s="104">
        <v>268</v>
      </c>
      <c r="W6" s="104">
        <v>325</v>
      </c>
      <c r="X6" s="104">
        <v>253</v>
      </c>
      <c r="Y6" s="104">
        <v>311</v>
      </c>
      <c r="Z6" s="104">
        <v>299</v>
      </c>
      <c r="AA6" s="104">
        <v>282</v>
      </c>
      <c r="AB6" s="104">
        <v>285</v>
      </c>
      <c r="AC6" s="104">
        <v>267</v>
      </c>
      <c r="AD6" s="104">
        <v>308</v>
      </c>
      <c r="AE6" s="104">
        <v>292</v>
      </c>
      <c r="AF6" s="104">
        <v>279</v>
      </c>
      <c r="AG6" s="104">
        <v>308</v>
      </c>
    </row>
    <row r="7" spans="1:33" ht="25.5">
      <c r="A7" s="104">
        <v>4</v>
      </c>
      <c r="B7" s="81" t="s">
        <v>46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4">
        <v>0</v>
      </c>
      <c r="AA7" s="104">
        <v>0</v>
      </c>
      <c r="AB7" s="104">
        <v>0</v>
      </c>
      <c r="AC7" s="104">
        <v>1</v>
      </c>
      <c r="AD7" s="104">
        <v>6</v>
      </c>
      <c r="AE7" s="104">
        <v>9</v>
      </c>
      <c r="AF7" s="104">
        <v>13</v>
      </c>
      <c r="AG7" s="104">
        <v>22</v>
      </c>
    </row>
    <row r="8" spans="1:33" ht="25.5">
      <c r="A8" s="104">
        <v>5</v>
      </c>
      <c r="B8" s="81" t="s">
        <v>47</v>
      </c>
      <c r="C8" s="104">
        <v>1983</v>
      </c>
      <c r="D8" s="104">
        <v>1804</v>
      </c>
      <c r="E8" s="104">
        <v>1958</v>
      </c>
      <c r="F8" s="104">
        <v>1920</v>
      </c>
      <c r="G8" s="104">
        <v>2028</v>
      </c>
      <c r="H8" s="104">
        <v>2006</v>
      </c>
      <c r="I8" s="104">
        <v>1892</v>
      </c>
      <c r="J8" s="104">
        <v>1672</v>
      </c>
      <c r="K8" s="104">
        <v>2199</v>
      </c>
      <c r="L8" s="104">
        <v>1889</v>
      </c>
      <c r="M8" s="104">
        <v>1990</v>
      </c>
      <c r="N8" s="104">
        <v>1925</v>
      </c>
      <c r="O8" s="104">
        <v>1870</v>
      </c>
      <c r="P8" s="104">
        <v>1853</v>
      </c>
      <c r="Q8" s="104">
        <v>1938</v>
      </c>
      <c r="R8" s="104">
        <v>1877</v>
      </c>
      <c r="S8" s="104">
        <v>1885</v>
      </c>
      <c r="T8" s="104">
        <v>1971</v>
      </c>
      <c r="U8" s="104">
        <v>1831</v>
      </c>
      <c r="V8" s="104">
        <v>1759</v>
      </c>
      <c r="W8" s="104">
        <v>1954</v>
      </c>
      <c r="X8" s="104">
        <v>1678</v>
      </c>
      <c r="Y8" s="104">
        <v>1913</v>
      </c>
      <c r="Z8" s="104">
        <v>1781</v>
      </c>
      <c r="AA8" s="104">
        <v>1647</v>
      </c>
      <c r="AB8" s="104">
        <v>1797</v>
      </c>
      <c r="AC8" s="104">
        <v>1582</v>
      </c>
      <c r="AD8" s="104">
        <v>1836</v>
      </c>
      <c r="AE8" s="104">
        <v>1716</v>
      </c>
      <c r="AF8" s="104">
        <v>1580</v>
      </c>
      <c r="AG8" s="104">
        <v>1840</v>
      </c>
    </row>
    <row r="9" spans="1:33" ht="25.5">
      <c r="A9" s="104">
        <v>6</v>
      </c>
      <c r="B9" s="81" t="s">
        <v>48</v>
      </c>
      <c r="C9" s="104">
        <v>711</v>
      </c>
      <c r="D9" s="104">
        <v>633</v>
      </c>
      <c r="E9" s="104">
        <v>703</v>
      </c>
      <c r="F9" s="104">
        <v>709</v>
      </c>
      <c r="G9" s="104">
        <v>733</v>
      </c>
      <c r="H9" s="104">
        <v>751</v>
      </c>
      <c r="I9" s="104">
        <v>683</v>
      </c>
      <c r="J9" s="104">
        <v>649</v>
      </c>
      <c r="K9" s="104">
        <v>881</v>
      </c>
      <c r="L9" s="104">
        <v>728</v>
      </c>
      <c r="M9" s="104">
        <v>813</v>
      </c>
      <c r="N9" s="104">
        <v>777</v>
      </c>
      <c r="O9" s="104">
        <v>709</v>
      </c>
      <c r="P9" s="104">
        <v>762</v>
      </c>
      <c r="Q9" s="104">
        <v>777</v>
      </c>
      <c r="R9" s="104">
        <v>763</v>
      </c>
      <c r="S9" s="104">
        <v>738</v>
      </c>
      <c r="T9" s="104">
        <v>808</v>
      </c>
      <c r="U9" s="104">
        <v>753</v>
      </c>
      <c r="V9" s="104">
        <v>695</v>
      </c>
      <c r="W9" s="104">
        <v>819</v>
      </c>
      <c r="X9" s="104">
        <v>688</v>
      </c>
      <c r="Y9" s="104">
        <v>770</v>
      </c>
      <c r="Z9" s="104">
        <v>768</v>
      </c>
      <c r="AA9" s="104">
        <v>692</v>
      </c>
      <c r="AB9" s="104">
        <v>734</v>
      </c>
      <c r="AC9" s="104">
        <v>635</v>
      </c>
      <c r="AD9" s="104">
        <v>713</v>
      </c>
      <c r="AE9" s="104">
        <v>692</v>
      </c>
      <c r="AF9" s="104">
        <v>626</v>
      </c>
      <c r="AG9" s="104">
        <v>761</v>
      </c>
    </row>
    <row r="10" spans="1:33" ht="12.75">
      <c r="A10" s="104">
        <v>7</v>
      </c>
      <c r="B10" s="81" t="s">
        <v>49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9</v>
      </c>
      <c r="AA10" s="104">
        <v>24</v>
      </c>
      <c r="AB10" s="104">
        <v>31</v>
      </c>
      <c r="AC10" s="104">
        <v>41</v>
      </c>
      <c r="AD10" s="104">
        <v>72</v>
      </c>
      <c r="AE10" s="104">
        <v>87</v>
      </c>
      <c r="AF10" s="104">
        <v>90</v>
      </c>
      <c r="AG10" s="104">
        <v>119</v>
      </c>
    </row>
    <row r="11" spans="1:33" ht="25.5">
      <c r="A11" s="104">
        <v>8</v>
      </c>
      <c r="B11" s="81" t="s">
        <v>50</v>
      </c>
      <c r="C11" s="104">
        <v>105</v>
      </c>
      <c r="D11" s="104">
        <v>93</v>
      </c>
      <c r="E11" s="104">
        <v>96</v>
      </c>
      <c r="F11" s="104">
        <v>106</v>
      </c>
      <c r="G11" s="104">
        <v>97</v>
      </c>
      <c r="H11" s="104">
        <v>123</v>
      </c>
      <c r="I11" s="104">
        <v>114</v>
      </c>
      <c r="J11" s="104">
        <v>111</v>
      </c>
      <c r="K11" s="104">
        <v>127</v>
      </c>
      <c r="L11" s="104">
        <v>98</v>
      </c>
      <c r="M11" s="104">
        <v>122</v>
      </c>
      <c r="N11" s="104">
        <v>106</v>
      </c>
      <c r="O11" s="104">
        <v>115</v>
      </c>
      <c r="P11" s="104">
        <v>121</v>
      </c>
      <c r="Q11" s="104">
        <v>123</v>
      </c>
      <c r="R11" s="104">
        <v>125</v>
      </c>
      <c r="S11" s="104">
        <v>129</v>
      </c>
      <c r="T11" s="104">
        <v>132</v>
      </c>
      <c r="U11" s="104">
        <v>128</v>
      </c>
      <c r="V11" s="104">
        <v>130</v>
      </c>
      <c r="W11" s="104">
        <v>134</v>
      </c>
      <c r="X11" s="104">
        <v>122</v>
      </c>
      <c r="Y11" s="104">
        <v>135</v>
      </c>
      <c r="Z11" s="104">
        <v>122</v>
      </c>
      <c r="AA11" s="104">
        <v>121</v>
      </c>
      <c r="AB11" s="104">
        <v>128</v>
      </c>
      <c r="AC11" s="104">
        <v>110</v>
      </c>
      <c r="AD11" s="104">
        <v>126</v>
      </c>
      <c r="AE11" s="104">
        <v>116</v>
      </c>
      <c r="AF11" s="104">
        <v>116</v>
      </c>
      <c r="AG11" s="104">
        <v>125</v>
      </c>
    </row>
    <row r="12" spans="1:33" ht="25.5">
      <c r="A12" s="104">
        <v>9</v>
      </c>
      <c r="B12" s="81" t="s">
        <v>51</v>
      </c>
      <c r="C12" s="104">
        <v>192</v>
      </c>
      <c r="D12" s="104">
        <v>189</v>
      </c>
      <c r="E12" s="104">
        <v>189</v>
      </c>
      <c r="F12" s="104">
        <v>195</v>
      </c>
      <c r="G12" s="104">
        <v>208</v>
      </c>
      <c r="H12" s="104">
        <v>209</v>
      </c>
      <c r="I12" s="104">
        <v>202</v>
      </c>
      <c r="J12" s="104">
        <v>193</v>
      </c>
      <c r="K12" s="104">
        <v>225</v>
      </c>
      <c r="L12" s="104">
        <v>228</v>
      </c>
      <c r="M12" s="104">
        <v>227</v>
      </c>
      <c r="N12" s="104">
        <v>215</v>
      </c>
      <c r="O12" s="104">
        <v>210</v>
      </c>
      <c r="P12" s="104">
        <v>225</v>
      </c>
      <c r="Q12" s="104">
        <v>186</v>
      </c>
      <c r="R12" s="104">
        <v>210</v>
      </c>
      <c r="S12" s="104">
        <v>215</v>
      </c>
      <c r="T12" s="104">
        <v>217</v>
      </c>
      <c r="U12" s="104">
        <v>199</v>
      </c>
      <c r="V12" s="104">
        <v>212</v>
      </c>
      <c r="W12" s="104">
        <v>217</v>
      </c>
      <c r="X12" s="104">
        <v>185</v>
      </c>
      <c r="Y12" s="104">
        <v>210</v>
      </c>
      <c r="Z12" s="104">
        <v>201</v>
      </c>
      <c r="AA12" s="104">
        <v>197</v>
      </c>
      <c r="AB12" s="104">
        <v>212</v>
      </c>
      <c r="AC12" s="104">
        <v>182</v>
      </c>
      <c r="AD12" s="104">
        <v>220</v>
      </c>
      <c r="AE12" s="104">
        <v>200</v>
      </c>
      <c r="AF12" s="104">
        <v>179</v>
      </c>
      <c r="AG12" s="104">
        <v>199</v>
      </c>
    </row>
    <row r="13" spans="1:33" ht="25.5">
      <c r="A13" s="104">
        <v>10</v>
      </c>
      <c r="B13" s="81" t="s">
        <v>52</v>
      </c>
      <c r="C13" s="104">
        <v>264</v>
      </c>
      <c r="D13" s="104">
        <v>276</v>
      </c>
      <c r="E13" s="104">
        <v>269</v>
      </c>
      <c r="F13" s="104">
        <v>284</v>
      </c>
      <c r="G13" s="104">
        <v>306</v>
      </c>
      <c r="H13" s="104">
        <v>323</v>
      </c>
      <c r="I13" s="104">
        <v>315</v>
      </c>
      <c r="J13" s="104">
        <v>271</v>
      </c>
      <c r="K13" s="104">
        <v>388</v>
      </c>
      <c r="L13" s="104">
        <v>341</v>
      </c>
      <c r="M13" s="104">
        <v>353</v>
      </c>
      <c r="N13" s="104">
        <v>339</v>
      </c>
      <c r="O13" s="104">
        <v>328</v>
      </c>
      <c r="P13" s="104">
        <v>326</v>
      </c>
      <c r="Q13" s="104">
        <v>324</v>
      </c>
      <c r="R13" s="104">
        <v>342</v>
      </c>
      <c r="S13" s="104">
        <v>353</v>
      </c>
      <c r="T13" s="104">
        <v>377</v>
      </c>
      <c r="U13" s="104">
        <v>340</v>
      </c>
      <c r="V13" s="104">
        <v>362</v>
      </c>
      <c r="W13" s="104">
        <v>380</v>
      </c>
      <c r="X13" s="104">
        <v>335</v>
      </c>
      <c r="Y13" s="104">
        <v>380</v>
      </c>
      <c r="Z13" s="104">
        <v>373</v>
      </c>
      <c r="AA13" s="104">
        <v>338</v>
      </c>
      <c r="AB13" s="104">
        <v>359</v>
      </c>
      <c r="AC13" s="104">
        <v>334</v>
      </c>
      <c r="AD13" s="104">
        <v>363</v>
      </c>
      <c r="AE13" s="104">
        <v>323</v>
      </c>
      <c r="AF13" s="104">
        <v>327</v>
      </c>
      <c r="AG13" s="104">
        <v>339</v>
      </c>
    </row>
    <row r="14" spans="1:33" ht="12.75">
      <c r="A14" s="104">
        <v>11</v>
      </c>
      <c r="B14" s="81" t="s">
        <v>53</v>
      </c>
      <c r="C14" s="104">
        <v>1347</v>
      </c>
      <c r="D14" s="104">
        <v>1278</v>
      </c>
      <c r="E14" s="104">
        <v>1299</v>
      </c>
      <c r="F14" s="104">
        <v>1312</v>
      </c>
      <c r="G14" s="104">
        <v>1396</v>
      </c>
      <c r="H14" s="104">
        <v>1457</v>
      </c>
      <c r="I14" s="104">
        <v>1353</v>
      </c>
      <c r="J14" s="104">
        <v>1286</v>
      </c>
      <c r="K14" s="104">
        <v>1674</v>
      </c>
      <c r="L14" s="104">
        <v>1528</v>
      </c>
      <c r="M14" s="104">
        <v>1589</v>
      </c>
      <c r="N14" s="104">
        <v>1466</v>
      </c>
      <c r="O14" s="104">
        <v>1461</v>
      </c>
      <c r="P14" s="104">
        <v>1530</v>
      </c>
      <c r="Q14" s="104">
        <v>1490</v>
      </c>
      <c r="R14" s="104">
        <v>1524</v>
      </c>
      <c r="S14" s="104">
        <v>1623</v>
      </c>
      <c r="T14" s="104">
        <v>1636</v>
      </c>
      <c r="U14" s="104">
        <v>1565</v>
      </c>
      <c r="V14" s="104">
        <v>1576</v>
      </c>
      <c r="W14" s="104">
        <v>1694</v>
      </c>
      <c r="X14" s="104">
        <v>1571</v>
      </c>
      <c r="Y14" s="104">
        <v>1746</v>
      </c>
      <c r="Z14" s="104">
        <v>1703</v>
      </c>
      <c r="AA14" s="104">
        <v>1589</v>
      </c>
      <c r="AB14" s="104">
        <v>1719</v>
      </c>
      <c r="AC14" s="104">
        <v>1583</v>
      </c>
      <c r="AD14" s="104">
        <v>1718</v>
      </c>
      <c r="AE14" s="104">
        <v>1642</v>
      </c>
      <c r="AF14" s="104">
        <v>1561</v>
      </c>
      <c r="AG14" s="104">
        <v>1762</v>
      </c>
    </row>
    <row r="15" spans="1:33" ht="12.75">
      <c r="A15" s="104">
        <v>12</v>
      </c>
      <c r="B15" s="81" t="s">
        <v>54</v>
      </c>
      <c r="C15" s="104">
        <v>469</v>
      </c>
      <c r="D15" s="104">
        <v>425</v>
      </c>
      <c r="E15" s="104">
        <v>472</v>
      </c>
      <c r="F15" s="104">
        <v>512</v>
      </c>
      <c r="G15" s="104">
        <v>519</v>
      </c>
      <c r="H15" s="104">
        <v>537</v>
      </c>
      <c r="I15" s="104">
        <v>520</v>
      </c>
      <c r="J15" s="104">
        <v>495</v>
      </c>
      <c r="K15" s="104">
        <v>632</v>
      </c>
      <c r="L15" s="104">
        <v>549</v>
      </c>
      <c r="M15" s="104">
        <v>582</v>
      </c>
      <c r="N15" s="104">
        <v>553</v>
      </c>
      <c r="O15" s="104">
        <v>527</v>
      </c>
      <c r="P15" s="104">
        <v>532</v>
      </c>
      <c r="Q15" s="104">
        <v>565</v>
      </c>
      <c r="R15" s="104">
        <v>555</v>
      </c>
      <c r="S15" s="104">
        <v>563</v>
      </c>
      <c r="T15" s="104">
        <v>601</v>
      </c>
      <c r="U15" s="104">
        <v>561</v>
      </c>
      <c r="V15" s="104">
        <v>541</v>
      </c>
      <c r="W15" s="104">
        <v>631</v>
      </c>
      <c r="X15" s="104">
        <v>577</v>
      </c>
      <c r="Y15" s="104">
        <v>635</v>
      </c>
      <c r="Z15" s="104">
        <v>624</v>
      </c>
      <c r="AA15" s="104">
        <v>588</v>
      </c>
      <c r="AB15" s="104">
        <v>629</v>
      </c>
      <c r="AC15" s="104">
        <v>591</v>
      </c>
      <c r="AD15" s="104">
        <v>641</v>
      </c>
      <c r="AE15" s="104">
        <v>590</v>
      </c>
      <c r="AF15" s="104">
        <v>577</v>
      </c>
      <c r="AG15" s="104">
        <v>622</v>
      </c>
    </row>
    <row r="16" spans="1:33" ht="12.75">
      <c r="A16" s="104">
        <v>13</v>
      </c>
      <c r="B16" s="81" t="s">
        <v>55</v>
      </c>
      <c r="C16" s="104">
        <v>397</v>
      </c>
      <c r="D16" s="104">
        <v>384</v>
      </c>
      <c r="E16" s="104">
        <v>425</v>
      </c>
      <c r="F16" s="104">
        <v>397</v>
      </c>
      <c r="G16" s="104">
        <v>421</v>
      </c>
      <c r="H16" s="104">
        <v>423</v>
      </c>
      <c r="I16" s="104">
        <v>413</v>
      </c>
      <c r="J16" s="104">
        <v>360</v>
      </c>
      <c r="K16" s="104">
        <v>489</v>
      </c>
      <c r="L16" s="104">
        <v>427</v>
      </c>
      <c r="M16" s="104">
        <v>445</v>
      </c>
      <c r="N16" s="104">
        <v>424</v>
      </c>
      <c r="O16" s="104">
        <v>418</v>
      </c>
      <c r="P16" s="104">
        <v>461</v>
      </c>
      <c r="Q16" s="104">
        <v>433</v>
      </c>
      <c r="R16" s="104">
        <v>452</v>
      </c>
      <c r="S16" s="104">
        <v>450</v>
      </c>
      <c r="T16" s="104">
        <v>463</v>
      </c>
      <c r="U16" s="104">
        <v>438</v>
      </c>
      <c r="V16" s="104">
        <v>432</v>
      </c>
      <c r="W16" s="104">
        <v>439</v>
      </c>
      <c r="X16" s="104">
        <v>411</v>
      </c>
      <c r="Y16" s="104">
        <v>462</v>
      </c>
      <c r="Z16" s="104">
        <v>463</v>
      </c>
      <c r="AA16" s="104">
        <v>415</v>
      </c>
      <c r="AB16" s="104">
        <v>445</v>
      </c>
      <c r="AC16" s="104">
        <v>400</v>
      </c>
      <c r="AD16" s="104">
        <v>423</v>
      </c>
      <c r="AE16" s="104">
        <v>404</v>
      </c>
      <c r="AF16" s="104">
        <v>410</v>
      </c>
      <c r="AG16" s="104">
        <v>477</v>
      </c>
    </row>
    <row r="17" spans="1:33" ht="12.75">
      <c r="A17" s="104">
        <v>14</v>
      </c>
      <c r="B17" s="81" t="s">
        <v>56</v>
      </c>
      <c r="C17" s="104">
        <v>21</v>
      </c>
      <c r="D17" s="104">
        <v>18</v>
      </c>
      <c r="E17" s="104">
        <v>24</v>
      </c>
      <c r="F17" s="104">
        <v>24</v>
      </c>
      <c r="G17" s="104">
        <v>22</v>
      </c>
      <c r="H17" s="104">
        <v>32</v>
      </c>
      <c r="I17" s="104">
        <v>30</v>
      </c>
      <c r="J17" s="104">
        <v>23</v>
      </c>
      <c r="K17" s="104">
        <v>33</v>
      </c>
      <c r="L17" s="104">
        <v>33</v>
      </c>
      <c r="M17" s="104">
        <v>34</v>
      </c>
      <c r="N17" s="104">
        <v>40</v>
      </c>
      <c r="O17" s="104">
        <v>42</v>
      </c>
      <c r="P17" s="104">
        <v>42</v>
      </c>
      <c r="Q17" s="104">
        <v>45</v>
      </c>
      <c r="R17" s="104">
        <v>40</v>
      </c>
      <c r="S17" s="104">
        <v>52</v>
      </c>
      <c r="T17" s="104">
        <v>59</v>
      </c>
      <c r="U17" s="104">
        <v>48</v>
      </c>
      <c r="V17" s="104">
        <v>54</v>
      </c>
      <c r="W17" s="104">
        <v>75</v>
      </c>
      <c r="X17" s="104">
        <v>57</v>
      </c>
      <c r="Y17" s="104">
        <v>73</v>
      </c>
      <c r="Z17" s="104">
        <v>70</v>
      </c>
      <c r="AA17" s="104">
        <v>80</v>
      </c>
      <c r="AB17" s="104">
        <v>81</v>
      </c>
      <c r="AC17" s="104">
        <v>72</v>
      </c>
      <c r="AD17" s="104">
        <v>85</v>
      </c>
      <c r="AE17" s="104">
        <v>78</v>
      </c>
      <c r="AF17" s="104">
        <v>60</v>
      </c>
      <c r="AG17" s="104">
        <v>78</v>
      </c>
    </row>
    <row r="18" spans="1:33" ht="12.75">
      <c r="A18" s="104">
        <v>15</v>
      </c>
      <c r="B18" s="81" t="s">
        <v>57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44</v>
      </c>
      <c r="W18" s="104">
        <v>123</v>
      </c>
      <c r="X18" s="104">
        <v>149</v>
      </c>
      <c r="Y18" s="104">
        <v>231</v>
      </c>
      <c r="Z18" s="104">
        <v>312</v>
      </c>
      <c r="AA18" s="104">
        <v>321</v>
      </c>
      <c r="AB18" s="104">
        <v>351</v>
      </c>
      <c r="AC18" s="104">
        <v>422</v>
      </c>
      <c r="AD18" s="104">
        <v>475</v>
      </c>
      <c r="AE18" s="104">
        <v>506</v>
      </c>
      <c r="AF18" s="104">
        <v>492</v>
      </c>
      <c r="AG18" s="104">
        <v>587</v>
      </c>
    </row>
    <row r="19" spans="1:33" ht="12.75">
      <c r="A19" s="104">
        <v>16</v>
      </c>
      <c r="B19" s="81" t="s">
        <v>58</v>
      </c>
      <c r="C19" s="104">
        <v>225</v>
      </c>
      <c r="D19" s="104">
        <v>222</v>
      </c>
      <c r="E19" s="104">
        <v>225</v>
      </c>
      <c r="F19" s="104">
        <v>246</v>
      </c>
      <c r="G19" s="104">
        <v>264</v>
      </c>
      <c r="H19" s="104">
        <v>280</v>
      </c>
      <c r="I19" s="104">
        <v>304</v>
      </c>
      <c r="J19" s="104">
        <v>271</v>
      </c>
      <c r="K19" s="104">
        <v>392</v>
      </c>
      <c r="L19" s="104">
        <v>350</v>
      </c>
      <c r="M19" s="104">
        <v>395</v>
      </c>
      <c r="N19" s="104">
        <v>375</v>
      </c>
      <c r="O19" s="104">
        <v>356</v>
      </c>
      <c r="P19" s="104">
        <v>387</v>
      </c>
      <c r="Q19" s="104">
        <v>379</v>
      </c>
      <c r="R19" s="104">
        <v>415</v>
      </c>
      <c r="S19" s="104">
        <v>440</v>
      </c>
      <c r="T19" s="104">
        <v>451</v>
      </c>
      <c r="U19" s="104">
        <v>419</v>
      </c>
      <c r="V19" s="104">
        <v>458</v>
      </c>
      <c r="W19" s="104">
        <v>505</v>
      </c>
      <c r="X19" s="104">
        <v>451</v>
      </c>
      <c r="Y19" s="104">
        <v>520</v>
      </c>
      <c r="Z19" s="104">
        <v>521</v>
      </c>
      <c r="AA19" s="104">
        <v>501</v>
      </c>
      <c r="AB19" s="104">
        <v>519</v>
      </c>
      <c r="AC19" s="104">
        <v>493</v>
      </c>
      <c r="AD19" s="104">
        <v>512</v>
      </c>
      <c r="AE19" s="104">
        <v>506</v>
      </c>
      <c r="AF19" s="104">
        <v>470</v>
      </c>
      <c r="AG19" s="104">
        <v>530</v>
      </c>
    </row>
    <row r="20" spans="1:33" ht="12.75">
      <c r="A20" s="104">
        <v>17</v>
      </c>
      <c r="B20" s="81" t="s">
        <v>59</v>
      </c>
      <c r="C20" s="104">
        <v>20</v>
      </c>
      <c r="D20" s="104">
        <v>22</v>
      </c>
      <c r="E20" s="104">
        <v>17</v>
      </c>
      <c r="F20" s="104">
        <v>33</v>
      </c>
      <c r="G20" s="104">
        <v>32</v>
      </c>
      <c r="H20" s="104">
        <v>35</v>
      </c>
      <c r="I20" s="104">
        <v>43</v>
      </c>
      <c r="J20" s="104">
        <v>30</v>
      </c>
      <c r="K20" s="104">
        <v>42</v>
      </c>
      <c r="L20" s="104">
        <v>31</v>
      </c>
      <c r="M20" s="104">
        <v>39</v>
      </c>
      <c r="N20" s="104">
        <v>34</v>
      </c>
      <c r="O20" s="104">
        <v>39</v>
      </c>
      <c r="P20" s="104">
        <v>53</v>
      </c>
      <c r="Q20" s="104">
        <v>48</v>
      </c>
      <c r="R20" s="104">
        <v>52</v>
      </c>
      <c r="S20" s="104">
        <v>54</v>
      </c>
      <c r="T20" s="104">
        <v>51</v>
      </c>
      <c r="U20" s="104">
        <v>60</v>
      </c>
      <c r="V20" s="104">
        <v>45</v>
      </c>
      <c r="W20" s="104">
        <v>68</v>
      </c>
      <c r="X20" s="104">
        <v>57</v>
      </c>
      <c r="Y20" s="104">
        <v>68</v>
      </c>
      <c r="Z20" s="104">
        <v>63</v>
      </c>
      <c r="AA20" s="104">
        <v>59</v>
      </c>
      <c r="AB20" s="104">
        <v>60</v>
      </c>
      <c r="AC20" s="104">
        <v>66</v>
      </c>
      <c r="AD20" s="104">
        <v>68</v>
      </c>
      <c r="AE20" s="104">
        <v>73</v>
      </c>
      <c r="AF20" s="104">
        <v>64</v>
      </c>
      <c r="AG20" s="104">
        <v>84</v>
      </c>
    </row>
    <row r="21" spans="1:33" ht="12.75">
      <c r="A21" s="104">
        <v>18</v>
      </c>
      <c r="B21" s="81" t="s">
        <v>60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6</v>
      </c>
      <c r="J21" s="104">
        <v>43</v>
      </c>
      <c r="K21" s="104">
        <v>133</v>
      </c>
      <c r="L21" s="104">
        <v>172</v>
      </c>
      <c r="M21" s="104">
        <v>214</v>
      </c>
      <c r="N21" s="104">
        <v>251</v>
      </c>
      <c r="O21" s="104">
        <v>302</v>
      </c>
      <c r="P21" s="104">
        <v>293</v>
      </c>
      <c r="Q21" s="104">
        <v>307</v>
      </c>
      <c r="R21" s="104">
        <v>308</v>
      </c>
      <c r="S21" s="104">
        <v>342</v>
      </c>
      <c r="T21" s="104">
        <v>368</v>
      </c>
      <c r="U21" s="104">
        <v>374</v>
      </c>
      <c r="V21" s="104">
        <v>387</v>
      </c>
      <c r="W21" s="104">
        <v>407</v>
      </c>
      <c r="X21" s="104">
        <v>390</v>
      </c>
      <c r="Y21" s="104">
        <v>420</v>
      </c>
      <c r="Z21" s="104">
        <v>410</v>
      </c>
      <c r="AA21" s="104">
        <v>403</v>
      </c>
      <c r="AB21" s="104">
        <v>416</v>
      </c>
      <c r="AC21" s="104">
        <v>368</v>
      </c>
      <c r="AD21" s="104">
        <v>437</v>
      </c>
      <c r="AE21" s="104">
        <v>450</v>
      </c>
      <c r="AF21" s="104">
        <v>405</v>
      </c>
      <c r="AG21" s="104">
        <v>463</v>
      </c>
    </row>
    <row r="22" spans="1:33" ht="12.75">
      <c r="A22" s="104">
        <v>19</v>
      </c>
      <c r="B22" s="81" t="s">
        <v>61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4</v>
      </c>
      <c r="V22" s="104">
        <v>11</v>
      </c>
      <c r="W22" s="104">
        <v>24</v>
      </c>
      <c r="X22" s="104">
        <v>34</v>
      </c>
      <c r="Y22" s="104">
        <v>52</v>
      </c>
      <c r="Z22" s="104">
        <v>56</v>
      </c>
      <c r="AA22" s="104">
        <v>73</v>
      </c>
      <c r="AB22" s="104">
        <v>66</v>
      </c>
      <c r="AC22" s="104">
        <v>84</v>
      </c>
      <c r="AD22" s="104">
        <v>104</v>
      </c>
      <c r="AE22" s="104">
        <v>106</v>
      </c>
      <c r="AF22" s="104">
        <v>116</v>
      </c>
      <c r="AG22" s="104">
        <v>133</v>
      </c>
    </row>
    <row r="23" spans="1:33" ht="12.75">
      <c r="A23" s="104">
        <v>20</v>
      </c>
      <c r="B23" s="81" t="s">
        <v>62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2</v>
      </c>
      <c r="V23" s="104">
        <v>8</v>
      </c>
      <c r="W23" s="104">
        <v>16</v>
      </c>
      <c r="X23" s="104">
        <v>20</v>
      </c>
      <c r="Y23" s="104">
        <v>36</v>
      </c>
      <c r="Z23" s="104">
        <v>41</v>
      </c>
      <c r="AA23" s="104">
        <v>47</v>
      </c>
      <c r="AB23" s="104">
        <v>57</v>
      </c>
      <c r="AC23" s="104">
        <v>51</v>
      </c>
      <c r="AD23" s="104">
        <v>77</v>
      </c>
      <c r="AE23" s="104">
        <v>67</v>
      </c>
      <c r="AF23" s="104">
        <v>61</v>
      </c>
      <c r="AG23" s="104">
        <v>77</v>
      </c>
    </row>
    <row r="24" spans="1:33" ht="12.75">
      <c r="A24" s="104">
        <v>21</v>
      </c>
      <c r="B24" s="81" t="s">
        <v>63</v>
      </c>
      <c r="C24" s="104">
        <v>22</v>
      </c>
      <c r="D24" s="104">
        <v>31</v>
      </c>
      <c r="E24" s="104">
        <v>25</v>
      </c>
      <c r="F24" s="104">
        <v>18</v>
      </c>
      <c r="G24" s="104">
        <v>19</v>
      </c>
      <c r="H24" s="104">
        <v>22</v>
      </c>
      <c r="I24" s="104">
        <v>16</v>
      </c>
      <c r="J24" s="104">
        <v>17</v>
      </c>
      <c r="K24" s="104">
        <v>19</v>
      </c>
      <c r="L24" s="104">
        <v>17</v>
      </c>
      <c r="M24" s="104">
        <v>21</v>
      </c>
      <c r="N24" s="104">
        <v>22</v>
      </c>
      <c r="O24" s="104">
        <v>24</v>
      </c>
      <c r="P24" s="104">
        <v>27</v>
      </c>
      <c r="Q24" s="104">
        <v>28</v>
      </c>
      <c r="R24" s="104">
        <v>25</v>
      </c>
      <c r="S24" s="104">
        <v>25</v>
      </c>
      <c r="T24" s="104">
        <v>26</v>
      </c>
      <c r="U24" s="104">
        <v>18</v>
      </c>
      <c r="V24" s="104">
        <v>16</v>
      </c>
      <c r="W24" s="104">
        <v>17</v>
      </c>
      <c r="X24" s="104">
        <v>18</v>
      </c>
      <c r="Y24" s="104">
        <v>23</v>
      </c>
      <c r="Z24" s="104">
        <v>20</v>
      </c>
      <c r="AA24" s="104">
        <v>23</v>
      </c>
      <c r="AB24" s="104">
        <v>14</v>
      </c>
      <c r="AC24" s="104">
        <v>13</v>
      </c>
      <c r="AD24" s="104">
        <v>15</v>
      </c>
      <c r="AE24" s="104">
        <v>19</v>
      </c>
      <c r="AF24" s="104">
        <v>12</v>
      </c>
      <c r="AG24" s="104">
        <v>17</v>
      </c>
    </row>
    <row r="25" spans="1:33" ht="25.5">
      <c r="A25" s="104">
        <v>22</v>
      </c>
      <c r="B25" s="81" t="s">
        <v>64</v>
      </c>
      <c r="C25" s="104">
        <v>101</v>
      </c>
      <c r="D25" s="104">
        <v>97</v>
      </c>
      <c r="E25" s="104">
        <v>99</v>
      </c>
      <c r="F25" s="104">
        <v>97</v>
      </c>
      <c r="G25" s="104">
        <v>100</v>
      </c>
      <c r="H25" s="104">
        <v>115</v>
      </c>
      <c r="I25" s="104">
        <v>101</v>
      </c>
      <c r="J25" s="104">
        <v>82</v>
      </c>
      <c r="K25" s="104">
        <v>118</v>
      </c>
      <c r="L25" s="104">
        <v>111</v>
      </c>
      <c r="M25" s="104">
        <v>110</v>
      </c>
      <c r="N25" s="104">
        <v>114</v>
      </c>
      <c r="O25" s="104">
        <v>127</v>
      </c>
      <c r="P25" s="104">
        <v>108</v>
      </c>
      <c r="Q25" s="104">
        <v>109</v>
      </c>
      <c r="R25" s="104">
        <v>120</v>
      </c>
      <c r="S25" s="104">
        <v>113</v>
      </c>
      <c r="T25" s="104">
        <v>97</v>
      </c>
      <c r="U25" s="104">
        <v>114</v>
      </c>
      <c r="V25" s="104">
        <v>93</v>
      </c>
      <c r="W25" s="104">
        <v>113</v>
      </c>
      <c r="X25" s="104">
        <v>88</v>
      </c>
      <c r="Y25" s="104">
        <v>99</v>
      </c>
      <c r="Z25" s="104">
        <v>96</v>
      </c>
      <c r="AA25" s="104">
        <v>100</v>
      </c>
      <c r="AB25" s="104">
        <v>96</v>
      </c>
      <c r="AC25" s="104">
        <v>98</v>
      </c>
      <c r="AD25" s="104">
        <v>96</v>
      </c>
      <c r="AE25" s="104">
        <v>84</v>
      </c>
      <c r="AF25" s="104">
        <v>78</v>
      </c>
      <c r="AG25" s="104">
        <v>102</v>
      </c>
    </row>
    <row r="26" spans="1:33" ht="25.5">
      <c r="A26" s="104">
        <v>23</v>
      </c>
      <c r="B26" s="81" t="s">
        <v>65</v>
      </c>
      <c r="C26" s="104">
        <v>32</v>
      </c>
      <c r="D26" s="104">
        <v>28</v>
      </c>
      <c r="E26" s="104">
        <v>36</v>
      </c>
      <c r="F26" s="104">
        <v>28</v>
      </c>
      <c r="G26" s="104">
        <v>35</v>
      </c>
      <c r="H26" s="104">
        <v>35</v>
      </c>
      <c r="I26" s="104">
        <v>32</v>
      </c>
      <c r="J26" s="104">
        <v>35</v>
      </c>
      <c r="K26" s="104">
        <v>37</v>
      </c>
      <c r="L26" s="104">
        <v>38</v>
      </c>
      <c r="M26" s="104">
        <v>41</v>
      </c>
      <c r="N26" s="104">
        <v>42</v>
      </c>
      <c r="O26" s="104">
        <v>34</v>
      </c>
      <c r="P26" s="104">
        <v>41</v>
      </c>
      <c r="Q26" s="104">
        <v>35</v>
      </c>
      <c r="R26" s="104">
        <v>34</v>
      </c>
      <c r="S26" s="104">
        <v>44</v>
      </c>
      <c r="T26" s="104">
        <v>33</v>
      </c>
      <c r="U26" s="104">
        <v>37</v>
      </c>
      <c r="V26" s="104">
        <v>36</v>
      </c>
      <c r="W26" s="104">
        <v>39</v>
      </c>
      <c r="X26" s="104">
        <v>30</v>
      </c>
      <c r="Y26" s="104">
        <v>35</v>
      </c>
      <c r="Z26" s="104">
        <v>33</v>
      </c>
      <c r="AA26" s="104">
        <v>32</v>
      </c>
      <c r="AB26" s="104">
        <v>39</v>
      </c>
      <c r="AC26" s="104">
        <v>34</v>
      </c>
      <c r="AD26" s="104">
        <v>36</v>
      </c>
      <c r="AE26" s="104">
        <v>32</v>
      </c>
      <c r="AF26" s="104">
        <v>30</v>
      </c>
      <c r="AG26" s="104">
        <v>34</v>
      </c>
    </row>
    <row r="27" spans="1:33" ht="25.5">
      <c r="A27" s="104">
        <v>24</v>
      </c>
      <c r="B27" s="81" t="s">
        <v>66</v>
      </c>
      <c r="C27" s="104">
        <v>17</v>
      </c>
      <c r="D27" s="104">
        <v>15</v>
      </c>
      <c r="E27" s="104">
        <v>16</v>
      </c>
      <c r="F27" s="104">
        <v>10</v>
      </c>
      <c r="G27" s="104">
        <v>14</v>
      </c>
      <c r="H27" s="104">
        <v>12</v>
      </c>
      <c r="I27" s="104">
        <v>10</v>
      </c>
      <c r="J27" s="104">
        <v>9</v>
      </c>
      <c r="K27" s="104">
        <v>19</v>
      </c>
      <c r="L27" s="104">
        <v>16</v>
      </c>
      <c r="M27" s="104">
        <v>16</v>
      </c>
      <c r="N27" s="104">
        <v>16</v>
      </c>
      <c r="O27" s="104">
        <v>18</v>
      </c>
      <c r="P27" s="104">
        <v>15</v>
      </c>
      <c r="Q27" s="104">
        <v>15</v>
      </c>
      <c r="R27" s="104">
        <v>13</v>
      </c>
      <c r="S27" s="104">
        <v>16</v>
      </c>
      <c r="T27" s="104">
        <v>13</v>
      </c>
      <c r="U27" s="104">
        <v>18</v>
      </c>
      <c r="V27" s="104">
        <v>10</v>
      </c>
      <c r="W27" s="104">
        <v>17</v>
      </c>
      <c r="X27" s="104">
        <v>9</v>
      </c>
      <c r="Y27" s="104">
        <v>12</v>
      </c>
      <c r="Z27" s="104">
        <v>13</v>
      </c>
      <c r="AA27" s="104">
        <v>10</v>
      </c>
      <c r="AB27" s="104">
        <v>9</v>
      </c>
      <c r="AC27" s="104">
        <v>7</v>
      </c>
      <c r="AD27" s="104">
        <v>8</v>
      </c>
      <c r="AE27" s="104">
        <v>8</v>
      </c>
      <c r="AF27" s="104">
        <v>6</v>
      </c>
      <c r="AG27" s="104">
        <v>13</v>
      </c>
    </row>
    <row r="28" spans="1:33" ht="25.5">
      <c r="A28" s="104">
        <v>25</v>
      </c>
      <c r="B28" s="81" t="s">
        <v>67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18</v>
      </c>
      <c r="X28" s="104">
        <v>85</v>
      </c>
      <c r="Y28" s="104">
        <v>143</v>
      </c>
      <c r="Z28" s="104">
        <v>211</v>
      </c>
      <c r="AA28" s="104">
        <v>265</v>
      </c>
      <c r="AB28" s="104">
        <v>312</v>
      </c>
      <c r="AC28" s="104">
        <v>262</v>
      </c>
      <c r="AD28" s="104">
        <v>344</v>
      </c>
      <c r="AE28" s="104">
        <v>374</v>
      </c>
      <c r="AF28" s="104">
        <v>316</v>
      </c>
      <c r="AG28" s="104">
        <v>412</v>
      </c>
    </row>
    <row r="29" spans="1:33" ht="25.5">
      <c r="A29" s="104">
        <v>26</v>
      </c>
      <c r="B29" s="81" t="s">
        <v>68</v>
      </c>
      <c r="C29" s="104">
        <v>998</v>
      </c>
      <c r="D29" s="104">
        <v>924</v>
      </c>
      <c r="E29" s="104">
        <v>997</v>
      </c>
      <c r="F29" s="104">
        <v>1004</v>
      </c>
      <c r="G29" s="104">
        <v>1059</v>
      </c>
      <c r="H29" s="104">
        <v>1038</v>
      </c>
      <c r="I29" s="104">
        <v>1046</v>
      </c>
      <c r="J29" s="104">
        <v>898</v>
      </c>
      <c r="K29" s="104">
        <v>1190</v>
      </c>
      <c r="L29" s="104">
        <v>1043</v>
      </c>
      <c r="M29" s="104">
        <v>1082</v>
      </c>
      <c r="N29" s="104">
        <v>1057</v>
      </c>
      <c r="O29" s="104">
        <v>1027</v>
      </c>
      <c r="P29" s="104">
        <v>1041</v>
      </c>
      <c r="Q29" s="104">
        <v>1012</v>
      </c>
      <c r="R29" s="104">
        <v>1023</v>
      </c>
      <c r="S29" s="104">
        <v>1065</v>
      </c>
      <c r="T29" s="104">
        <v>1051</v>
      </c>
      <c r="U29" s="104">
        <v>1028</v>
      </c>
      <c r="V29" s="104">
        <v>968</v>
      </c>
      <c r="W29" s="104">
        <v>1097</v>
      </c>
      <c r="X29" s="104">
        <v>928</v>
      </c>
      <c r="Y29" s="104">
        <v>998</v>
      </c>
      <c r="Z29" s="104">
        <v>954</v>
      </c>
      <c r="AA29" s="104">
        <v>798</v>
      </c>
      <c r="AB29" s="104">
        <v>800</v>
      </c>
      <c r="AC29" s="104">
        <v>755</v>
      </c>
      <c r="AD29" s="104">
        <v>774</v>
      </c>
      <c r="AE29" s="104">
        <v>699</v>
      </c>
      <c r="AF29" s="104">
        <v>658</v>
      </c>
      <c r="AG29" s="104">
        <v>716</v>
      </c>
    </row>
    <row r="30" spans="1:33" ht="25.5">
      <c r="A30" s="104">
        <v>27</v>
      </c>
      <c r="B30" s="81" t="s">
        <v>69</v>
      </c>
      <c r="C30" s="104">
        <v>705</v>
      </c>
      <c r="D30" s="104">
        <v>635</v>
      </c>
      <c r="E30" s="104">
        <v>675</v>
      </c>
      <c r="F30" s="104">
        <v>650</v>
      </c>
      <c r="G30" s="104">
        <v>704</v>
      </c>
      <c r="H30" s="104">
        <v>687</v>
      </c>
      <c r="I30" s="104">
        <v>654</v>
      </c>
      <c r="J30" s="104">
        <v>614</v>
      </c>
      <c r="K30" s="104">
        <v>816</v>
      </c>
      <c r="L30" s="104">
        <v>664</v>
      </c>
      <c r="M30" s="104">
        <v>739</v>
      </c>
      <c r="N30" s="104">
        <v>667</v>
      </c>
      <c r="O30" s="104">
        <v>685</v>
      </c>
      <c r="P30" s="104">
        <v>655</v>
      </c>
      <c r="Q30" s="104">
        <v>691</v>
      </c>
      <c r="R30" s="104">
        <v>683</v>
      </c>
      <c r="S30" s="104">
        <v>670</v>
      </c>
      <c r="T30" s="104">
        <v>698</v>
      </c>
      <c r="U30" s="104">
        <v>674</v>
      </c>
      <c r="V30" s="104">
        <v>639</v>
      </c>
      <c r="W30" s="104">
        <v>730</v>
      </c>
      <c r="X30" s="104">
        <v>612</v>
      </c>
      <c r="Y30" s="104">
        <v>706</v>
      </c>
      <c r="Z30" s="104">
        <v>687</v>
      </c>
      <c r="AA30" s="104">
        <v>590</v>
      </c>
      <c r="AB30" s="104">
        <v>622</v>
      </c>
      <c r="AC30" s="104">
        <v>598</v>
      </c>
      <c r="AD30" s="104">
        <v>607</v>
      </c>
      <c r="AE30" s="104">
        <v>608</v>
      </c>
      <c r="AF30" s="104">
        <v>577</v>
      </c>
      <c r="AG30" s="104">
        <v>651</v>
      </c>
    </row>
    <row r="31" spans="1:33" ht="25.5">
      <c r="A31" s="104">
        <v>28</v>
      </c>
      <c r="B31" s="81" t="s">
        <v>70</v>
      </c>
      <c r="C31" s="104">
        <v>210</v>
      </c>
      <c r="D31" s="104">
        <v>184</v>
      </c>
      <c r="E31" s="104">
        <v>199</v>
      </c>
      <c r="F31" s="104">
        <v>182</v>
      </c>
      <c r="G31" s="104">
        <v>211</v>
      </c>
      <c r="H31" s="104">
        <v>202</v>
      </c>
      <c r="I31" s="104">
        <v>208</v>
      </c>
      <c r="J31" s="104">
        <v>177</v>
      </c>
      <c r="K31" s="104">
        <v>234</v>
      </c>
      <c r="L31" s="104">
        <v>189</v>
      </c>
      <c r="M31" s="104">
        <v>202</v>
      </c>
      <c r="N31" s="104">
        <v>194</v>
      </c>
      <c r="O31" s="104">
        <v>195</v>
      </c>
      <c r="P31" s="104">
        <v>216</v>
      </c>
      <c r="Q31" s="104">
        <v>197</v>
      </c>
      <c r="R31" s="104">
        <v>175</v>
      </c>
      <c r="S31" s="104">
        <v>202</v>
      </c>
      <c r="T31" s="104">
        <v>185</v>
      </c>
      <c r="U31" s="104">
        <v>183</v>
      </c>
      <c r="V31" s="104">
        <v>177</v>
      </c>
      <c r="W31" s="104">
        <v>197</v>
      </c>
      <c r="X31" s="104">
        <v>161</v>
      </c>
      <c r="Y31" s="104">
        <v>188</v>
      </c>
      <c r="Z31" s="104">
        <v>161</v>
      </c>
      <c r="AA31" s="104">
        <v>167</v>
      </c>
      <c r="AB31" s="104">
        <v>160</v>
      </c>
      <c r="AC31" s="104">
        <v>156</v>
      </c>
      <c r="AD31" s="104">
        <v>175</v>
      </c>
      <c r="AE31" s="104">
        <v>146</v>
      </c>
      <c r="AF31" s="104">
        <v>156</v>
      </c>
      <c r="AG31" s="104">
        <v>155</v>
      </c>
    </row>
    <row r="32" spans="1:33" ht="12.75">
      <c r="A32" s="104">
        <v>29</v>
      </c>
      <c r="B32" s="81" t="s">
        <v>71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4">
        <v>0</v>
      </c>
      <c r="AA32" s="104">
        <v>0</v>
      </c>
      <c r="AB32" s="104">
        <v>0</v>
      </c>
      <c r="AC32" s="104">
        <v>0</v>
      </c>
      <c r="AD32" s="104">
        <v>0</v>
      </c>
      <c r="AE32" s="104">
        <v>0</v>
      </c>
      <c r="AF32" s="104">
        <v>0</v>
      </c>
      <c r="AG32" s="104">
        <v>3</v>
      </c>
    </row>
    <row r="34" spans="1:33" s="70" customFormat="1" ht="13.5" thickBot="1">
      <c r="A34" s="93" t="s">
        <v>75</v>
      </c>
      <c r="B34" s="93" t="s">
        <v>74</v>
      </c>
      <c r="C34" s="103">
        <v>38169</v>
      </c>
      <c r="D34" s="103">
        <v>38200</v>
      </c>
      <c r="E34" s="103">
        <v>38231</v>
      </c>
      <c r="F34" s="103">
        <v>38261</v>
      </c>
      <c r="G34" s="103">
        <v>38292</v>
      </c>
      <c r="H34" s="103">
        <v>38322</v>
      </c>
      <c r="I34" s="103">
        <v>38353</v>
      </c>
      <c r="J34" s="103">
        <v>38384</v>
      </c>
      <c r="K34" s="103">
        <v>38412</v>
      </c>
      <c r="L34" s="103">
        <v>38443</v>
      </c>
      <c r="M34" s="103">
        <v>38473</v>
      </c>
      <c r="N34" s="103">
        <v>38504</v>
      </c>
      <c r="O34" s="103">
        <v>38534</v>
      </c>
      <c r="P34" s="103">
        <v>38565</v>
      </c>
      <c r="Q34" s="103">
        <v>38596</v>
      </c>
      <c r="R34" s="103">
        <v>38626</v>
      </c>
      <c r="S34" s="103">
        <v>38657</v>
      </c>
      <c r="T34" s="103">
        <v>38687</v>
      </c>
      <c r="U34" s="103">
        <v>38718</v>
      </c>
      <c r="V34" s="103">
        <v>38749</v>
      </c>
      <c r="W34" s="103">
        <v>38777</v>
      </c>
      <c r="X34" s="103">
        <v>38808</v>
      </c>
      <c r="Y34" s="103">
        <v>38838</v>
      </c>
      <c r="Z34" s="103">
        <v>38869</v>
      </c>
      <c r="AA34" s="103">
        <v>38899</v>
      </c>
      <c r="AB34" s="103">
        <v>38930</v>
      </c>
      <c r="AC34" s="103">
        <v>38961</v>
      </c>
      <c r="AD34" s="103">
        <v>38991</v>
      </c>
      <c r="AE34" s="103">
        <v>39022</v>
      </c>
      <c r="AF34" s="103">
        <v>39052</v>
      </c>
      <c r="AG34" s="103">
        <v>39083</v>
      </c>
    </row>
    <row r="35" spans="1:33" ht="26.25" thickTop="1">
      <c r="A35">
        <v>1</v>
      </c>
      <c r="B35" s="91" t="s">
        <v>43</v>
      </c>
      <c r="C35" s="102">
        <f>VLOOKUP(1,$A$4:$AX$32,3,FALSE)</f>
        <v>0</v>
      </c>
      <c r="D35" s="102">
        <f>VLOOKUP(1,$A$4:$AX$32,4,FALSE)</f>
        <v>0</v>
      </c>
      <c r="E35" s="102">
        <f>VLOOKUP(1,$A$4:$AX$32,5,FALSE)</f>
        <v>0</v>
      </c>
      <c r="F35" s="102">
        <f>VLOOKUP(1,$A$4:$AX$32,6,FALSE)</f>
        <v>0</v>
      </c>
      <c r="G35" s="102">
        <f>VLOOKUP(1,$A$4:$AX$32,7,FALSE)</f>
        <v>0</v>
      </c>
      <c r="H35" s="102">
        <f>VLOOKUP(1,$A$4:$AX$32,8,FALSE)</f>
        <v>0</v>
      </c>
      <c r="I35" s="102">
        <f>VLOOKUP(1,$A$4:$AX$32,9,FALSE)</f>
        <v>0</v>
      </c>
      <c r="J35" s="102">
        <f>VLOOKUP(1,$A$4:$AX$32,10,FALSE)</f>
        <v>0</v>
      </c>
      <c r="K35" s="102">
        <f>VLOOKUP(1,$A$4:$AX$32,11,FALSE)</f>
        <v>0</v>
      </c>
      <c r="L35" s="102">
        <f>VLOOKUP(1,$A$4:$AX$32,12,FALSE)</f>
        <v>0</v>
      </c>
      <c r="M35" s="102">
        <f>VLOOKUP(1,$A$4:$AX$32,13,FALSE)</f>
        <v>0</v>
      </c>
      <c r="N35" s="102">
        <f>VLOOKUP(1,$A$4:$AX$32,14,FALSE)</f>
        <v>0</v>
      </c>
      <c r="O35" s="102">
        <f>VLOOKUP(1,$A$4:$AX$32,15,FALSE)</f>
        <v>0</v>
      </c>
      <c r="P35" s="102">
        <f>VLOOKUP(1,$A$4:$AX$32,16,FALSE)</f>
        <v>0</v>
      </c>
      <c r="Q35" s="102">
        <f>VLOOKUP(1,$A$4:$AX$32,17,FALSE)</f>
        <v>0</v>
      </c>
      <c r="R35" s="102">
        <f>VLOOKUP(1,$A$4:$AX$32,18,FALSE)</f>
        <v>0</v>
      </c>
      <c r="S35" s="102">
        <f>VLOOKUP(1,$A$4:$AX$32,19,FALSE)</f>
        <v>0</v>
      </c>
      <c r="T35" s="102">
        <f>VLOOKUP(1,$A$4:$AX$32,20,FALSE)</f>
        <v>1</v>
      </c>
      <c r="U35" s="102">
        <f>VLOOKUP(1,$A$4:$AX$32,21,FALSE)</f>
        <v>8</v>
      </c>
      <c r="V35" s="102">
        <f>VLOOKUP(1,$A$4:$AX$32,22,FALSE)</f>
        <v>14</v>
      </c>
      <c r="W35" s="102">
        <f>VLOOKUP(1,$A$4:$AX$32,23,FALSE)</f>
        <v>16</v>
      </c>
      <c r="X35" s="102">
        <f>VLOOKUP(1,$A$4:$AX$32,24,FALSE)</f>
        <v>21</v>
      </c>
      <c r="Y35" s="102">
        <f>VLOOKUP(1,$A$4:$AX$32,25,FALSE)</f>
        <v>22</v>
      </c>
      <c r="Z35" s="102">
        <f>VLOOKUP(1,$A$4:$AX$32,26,FALSE)</f>
        <v>26</v>
      </c>
      <c r="AA35" s="102">
        <f>VLOOKUP(1,$A$4:$AX$32,27,FALSE)</f>
        <v>21</v>
      </c>
      <c r="AB35" s="102">
        <f>VLOOKUP(1,$A$4:$AX$32,28,FALSE)</f>
        <v>27</v>
      </c>
      <c r="AC35" s="102">
        <f>VLOOKUP(1,$A$4:$AX$32,29,FALSE)</f>
        <v>35</v>
      </c>
      <c r="AD35" s="102">
        <f>VLOOKUP(1,$A$4:$AX$32,30,FALSE)</f>
        <v>46</v>
      </c>
      <c r="AE35" s="102">
        <f>VLOOKUP(1,$A$4:$AX$32,31,FALSE)</f>
        <v>40</v>
      </c>
      <c r="AF35" s="102">
        <f>VLOOKUP(1,$A$4:$AX$32,32,FALSE)</f>
        <v>34</v>
      </c>
      <c r="AG35" s="102">
        <f>VLOOKUP(1,$A$4:$AX$32,33,FALSE)</f>
        <v>38</v>
      </c>
    </row>
    <row r="36" spans="1:33" ht="25.5">
      <c r="A36">
        <v>2</v>
      </c>
      <c r="B36" s="77" t="s">
        <v>44</v>
      </c>
      <c r="C36" s="102">
        <f>VLOOKUP(2,$A$4:$AX$32,3,FALSE)</f>
        <v>1421</v>
      </c>
      <c r="D36" s="102">
        <f>VLOOKUP(2,$A$4:$AX$32,4,FALSE)</f>
        <v>1347</v>
      </c>
      <c r="E36" s="102">
        <f>VLOOKUP(2,$A$4:$AX$32,5,FALSE)</f>
        <v>1397</v>
      </c>
      <c r="F36" s="102">
        <f>VLOOKUP(2,$A$4:$AX$32,6,FALSE)</f>
        <v>1368</v>
      </c>
      <c r="G36" s="102">
        <f>VLOOKUP(2,$A$4:$AX$32,7,FALSE)</f>
        <v>1415</v>
      </c>
      <c r="H36" s="102">
        <f>VLOOKUP(2,$A$4:$AX$32,8,FALSE)</f>
        <v>1433</v>
      </c>
      <c r="I36" s="102">
        <f>VLOOKUP(2,$A$4:$AX$32,9,FALSE)</f>
        <v>1397</v>
      </c>
      <c r="J36" s="102">
        <f>VLOOKUP(2,$A$4:$AX$32,10,FALSE)</f>
        <v>1200</v>
      </c>
      <c r="K36" s="102">
        <f>VLOOKUP(2,$A$4:$AX$32,11,FALSE)</f>
        <v>1614</v>
      </c>
      <c r="L36" s="102">
        <f>VLOOKUP(2,$A$4:$AX$32,12,FALSE)</f>
        <v>1368</v>
      </c>
      <c r="M36" s="102">
        <f>VLOOKUP(2,$A$4:$AX$32,13,FALSE)</f>
        <v>1478</v>
      </c>
      <c r="N36" s="102">
        <f>VLOOKUP(2,$A$4:$AX$32,14,FALSE)</f>
        <v>1463</v>
      </c>
      <c r="O36" s="102">
        <f>VLOOKUP(2,$A$4:$AX$32,15,FALSE)</f>
        <v>1368</v>
      </c>
      <c r="P36" s="102">
        <f>VLOOKUP(2,$A$4:$AX$32,16,FALSE)</f>
        <v>1482</v>
      </c>
      <c r="Q36" s="102">
        <f>VLOOKUP(2,$A$4:$AX$32,17,FALSE)</f>
        <v>1456</v>
      </c>
      <c r="R36" s="102">
        <f>VLOOKUP(2,$A$4:$AX$32,18,FALSE)</f>
        <v>1433</v>
      </c>
      <c r="S36" s="102">
        <f>VLOOKUP(2,$A$4:$AX$32,19,FALSE)</f>
        <v>1525</v>
      </c>
      <c r="T36" s="102">
        <f>VLOOKUP(2,$A$4:$AX$32,20,FALSE)</f>
        <v>1535</v>
      </c>
      <c r="U36" s="102">
        <f>VLOOKUP(2,$A$4:$AX$32,21,FALSE)</f>
        <v>1430</v>
      </c>
      <c r="V36" s="102">
        <f>VLOOKUP(2,$A$4:$AX$32,22,FALSE)</f>
        <v>1385</v>
      </c>
      <c r="W36" s="102">
        <f>VLOOKUP(2,$A$4:$AX$32,23,FALSE)</f>
        <v>1507</v>
      </c>
      <c r="X36" s="102">
        <f>VLOOKUP(2,$A$4:$AX$32,24,FALSE)</f>
        <v>1310</v>
      </c>
      <c r="Y36" s="102">
        <f>VLOOKUP(2,$A$4:$AX$32,25,FALSE)</f>
        <v>1455</v>
      </c>
      <c r="Z36" s="102">
        <f>VLOOKUP(2,$A$4:$AX$32,26,FALSE)</f>
        <v>1481</v>
      </c>
      <c r="AA36" s="102">
        <f>VLOOKUP(2,$A$4:$AX$32,27,FALSE)</f>
        <v>1365</v>
      </c>
      <c r="AB36" s="102">
        <f>VLOOKUP(2,$A$4:$AX$32,28,FALSE)</f>
        <v>1388</v>
      </c>
      <c r="AC36" s="102">
        <f>VLOOKUP(2,$A$4:$AX$32,29,FALSE)</f>
        <v>1335</v>
      </c>
      <c r="AD36" s="102">
        <f>VLOOKUP(2,$A$4:$AX$32,30,FALSE)</f>
        <v>1504</v>
      </c>
      <c r="AE36" s="102">
        <f>VLOOKUP(2,$A$4:$AX$32,31,FALSE)</f>
        <v>1448</v>
      </c>
      <c r="AF36" s="102">
        <f>VLOOKUP(2,$A$4:$AX$32,32,FALSE)</f>
        <v>1333</v>
      </c>
      <c r="AG36" s="102">
        <f>VLOOKUP(2,$A$4:$AX$32,33,FALSE)</f>
        <v>1569</v>
      </c>
    </row>
    <row r="37" spans="1:33" ht="25.5">
      <c r="A37">
        <v>3</v>
      </c>
      <c r="B37" s="77" t="s">
        <v>45</v>
      </c>
      <c r="C37" s="102">
        <f>VLOOKUP(3,$A$4:$AX$32,3,FALSE)</f>
        <v>240</v>
      </c>
      <c r="D37" s="102">
        <f>VLOOKUP(3,$A$4:$AX$32,4,FALSE)</f>
        <v>222</v>
      </c>
      <c r="E37" s="102">
        <f>VLOOKUP(3,$A$4:$AX$32,5,FALSE)</f>
        <v>250</v>
      </c>
      <c r="F37" s="102">
        <f>VLOOKUP(3,$A$4:$AX$32,6,FALSE)</f>
        <v>241</v>
      </c>
      <c r="G37" s="102">
        <f>VLOOKUP(3,$A$4:$AX$32,7,FALSE)</f>
        <v>251</v>
      </c>
      <c r="H37" s="102">
        <f>VLOOKUP(3,$A$4:$AX$32,8,FALSE)</f>
        <v>263</v>
      </c>
      <c r="I37" s="102">
        <f>VLOOKUP(3,$A$4:$AX$32,9,FALSE)</f>
        <v>256</v>
      </c>
      <c r="J37" s="102">
        <f>VLOOKUP(3,$A$4:$AX$32,10,FALSE)</f>
        <v>241</v>
      </c>
      <c r="K37" s="102">
        <f>VLOOKUP(3,$A$4:$AX$32,11,FALSE)</f>
        <v>327</v>
      </c>
      <c r="L37" s="102">
        <f>VLOOKUP(3,$A$4:$AX$32,12,FALSE)</f>
        <v>278</v>
      </c>
      <c r="M37" s="102">
        <f>VLOOKUP(3,$A$4:$AX$32,13,FALSE)</f>
        <v>278</v>
      </c>
      <c r="N37" s="102">
        <f>VLOOKUP(3,$A$4:$AX$32,14,FALSE)</f>
        <v>279</v>
      </c>
      <c r="O37" s="102">
        <f>VLOOKUP(3,$A$4:$AX$32,15,FALSE)</f>
        <v>275</v>
      </c>
      <c r="P37" s="102">
        <f>VLOOKUP(3,$A$4:$AX$32,16,FALSE)</f>
        <v>289</v>
      </c>
      <c r="Q37" s="102">
        <f>VLOOKUP(3,$A$4:$AX$32,17,FALSE)</f>
        <v>274</v>
      </c>
      <c r="R37" s="102">
        <f>VLOOKUP(3,$A$4:$AX$32,18,FALSE)</f>
        <v>289</v>
      </c>
      <c r="S37" s="102">
        <f>VLOOKUP(3,$A$4:$AX$32,19,FALSE)</f>
        <v>272</v>
      </c>
      <c r="T37" s="102">
        <f>VLOOKUP(3,$A$4:$AX$32,20,FALSE)</f>
        <v>289</v>
      </c>
      <c r="U37" s="102">
        <f>VLOOKUP(3,$A$4:$AX$32,21,FALSE)</f>
        <v>284</v>
      </c>
      <c r="V37" s="102">
        <f>VLOOKUP(3,$A$4:$AX$32,22,FALSE)</f>
        <v>268</v>
      </c>
      <c r="W37" s="102">
        <f>VLOOKUP(3,$A$4:$AX$32,23,FALSE)</f>
        <v>325</v>
      </c>
      <c r="X37" s="102">
        <f>VLOOKUP(3,$A$4:$AX$32,24,FALSE)</f>
        <v>253</v>
      </c>
      <c r="Y37" s="102">
        <f>VLOOKUP(3,$A$4:$AX$32,25,FALSE)</f>
        <v>311</v>
      </c>
      <c r="Z37" s="102">
        <f>VLOOKUP(3,$A$4:$AX$32,26,FALSE)</f>
        <v>299</v>
      </c>
      <c r="AA37" s="102">
        <f>VLOOKUP(3,$A$4:$AX$32,27,FALSE)</f>
        <v>282</v>
      </c>
      <c r="AB37" s="102">
        <f>VLOOKUP(3,$A$4:$AX$32,28,FALSE)</f>
        <v>285</v>
      </c>
      <c r="AC37" s="102">
        <f>VLOOKUP(3,$A$4:$AX$32,29,FALSE)</f>
        <v>267</v>
      </c>
      <c r="AD37" s="102">
        <f>VLOOKUP(3,$A$4:$AX$32,30,FALSE)</f>
        <v>308</v>
      </c>
      <c r="AE37" s="102">
        <f>VLOOKUP(3,$A$4:$AX$32,31,FALSE)</f>
        <v>292</v>
      </c>
      <c r="AF37" s="102">
        <f>VLOOKUP(3,$A$4:$AX$32,32,FALSE)</f>
        <v>279</v>
      </c>
      <c r="AG37" s="102">
        <f>VLOOKUP(3,$A$4:$AX$32,33,FALSE)</f>
        <v>308</v>
      </c>
    </row>
    <row r="38" spans="1:33" ht="25.5">
      <c r="A38">
        <v>4</v>
      </c>
      <c r="B38" s="77" t="s">
        <v>46</v>
      </c>
      <c r="C38" s="102">
        <f>VLOOKUP(4,$A$4:$AX$32,3,FALSE)</f>
        <v>0</v>
      </c>
      <c r="D38" s="102">
        <f>VLOOKUP(4,$A$4:$AX$32,4,FALSE)</f>
        <v>0</v>
      </c>
      <c r="E38" s="102">
        <f>VLOOKUP(4,$A$4:$AX$32,5,FALSE)</f>
        <v>0</v>
      </c>
      <c r="F38" s="102">
        <f>VLOOKUP(4,$A$4:$AX$32,6,FALSE)</f>
        <v>0</v>
      </c>
      <c r="G38" s="102">
        <f>VLOOKUP(4,$A$4:$AX$32,7,FALSE)</f>
        <v>0</v>
      </c>
      <c r="H38" s="102">
        <f>VLOOKUP(4,$A$4:$AX$32,8,FALSE)</f>
        <v>0</v>
      </c>
      <c r="I38" s="102">
        <f>VLOOKUP(4,$A$4:$AX$32,9,FALSE)</f>
        <v>0</v>
      </c>
      <c r="J38" s="102">
        <f>VLOOKUP(4,$A$4:$AX$32,10,FALSE)</f>
        <v>0</v>
      </c>
      <c r="K38" s="102">
        <f>VLOOKUP(4,$A$4:$AX$32,11,FALSE)</f>
        <v>0</v>
      </c>
      <c r="L38" s="102">
        <f>VLOOKUP(4,$A$4:$AX$32,12,FALSE)</f>
        <v>0</v>
      </c>
      <c r="M38" s="102">
        <f>VLOOKUP(4,$A$4:$AX$32,13,FALSE)</f>
        <v>0</v>
      </c>
      <c r="N38" s="102">
        <f>VLOOKUP(4,$A$4:$AX$32,14,FALSE)</f>
        <v>0</v>
      </c>
      <c r="O38" s="102">
        <f>VLOOKUP(4,$A$4:$AX$32,15,FALSE)</f>
        <v>0</v>
      </c>
      <c r="P38" s="102">
        <f>VLOOKUP(4,$A$4:$AX$32,16,FALSE)</f>
        <v>0</v>
      </c>
      <c r="Q38" s="102">
        <f>VLOOKUP(4,$A$4:$AX$32,17,FALSE)</f>
        <v>0</v>
      </c>
      <c r="R38" s="102">
        <f>VLOOKUP(4,$A$4:$AX$32,18,FALSE)</f>
        <v>0</v>
      </c>
      <c r="S38" s="102">
        <f>VLOOKUP(4,$A$4:$AX$32,19,FALSE)</f>
        <v>0</v>
      </c>
      <c r="T38" s="102">
        <f>VLOOKUP(4,$A$4:$AX$32,20,FALSE)</f>
        <v>0</v>
      </c>
      <c r="U38" s="102">
        <f>VLOOKUP(4,$A$4:$AX$32,21,FALSE)</f>
        <v>0</v>
      </c>
      <c r="V38" s="102">
        <f>VLOOKUP(4,$A$4:$AX$32,22,FALSE)</f>
        <v>0</v>
      </c>
      <c r="W38" s="102">
        <f>VLOOKUP(4,$A$4:$AX$32,23,FALSE)</f>
        <v>0</v>
      </c>
      <c r="X38" s="102">
        <f>VLOOKUP(4,$A$4:$AX$32,24,FALSE)</f>
        <v>0</v>
      </c>
      <c r="Y38" s="102">
        <f>VLOOKUP(4,$A$4:$AX$32,25,FALSE)</f>
        <v>0</v>
      </c>
      <c r="Z38" s="102">
        <f>VLOOKUP(4,$A$4:$AX$32,26,FALSE)</f>
        <v>0</v>
      </c>
      <c r="AA38" s="102">
        <f>VLOOKUP(4,$A$4:$AX$32,27,FALSE)</f>
        <v>0</v>
      </c>
      <c r="AB38" s="102">
        <f>VLOOKUP(4,$A$4:$AX$32,28,FALSE)</f>
        <v>0</v>
      </c>
      <c r="AC38" s="102">
        <f>VLOOKUP(4,$A$4:$AX$32,29,FALSE)</f>
        <v>1</v>
      </c>
      <c r="AD38" s="102">
        <f>VLOOKUP(4,$A$4:$AX$32,30,FALSE)</f>
        <v>6</v>
      </c>
      <c r="AE38" s="102">
        <f>VLOOKUP(4,$A$4:$AX$32,31,FALSE)</f>
        <v>9</v>
      </c>
      <c r="AF38" s="102">
        <f>VLOOKUP(4,$A$4:$AX$32,32,FALSE)</f>
        <v>13</v>
      </c>
      <c r="AG38" s="102">
        <f>VLOOKUP(4,$A$4:$AX$32,33,FALSE)</f>
        <v>22</v>
      </c>
    </row>
    <row r="39" spans="1:33" ht="25.5">
      <c r="A39">
        <v>5</v>
      </c>
      <c r="B39" s="77" t="s">
        <v>47</v>
      </c>
      <c r="C39" s="102">
        <f>VLOOKUP(5,$A$4:$AX$32,3,FALSE)</f>
        <v>1983</v>
      </c>
      <c r="D39" s="102">
        <f>VLOOKUP(5,$A$4:$AX$32,4,FALSE)</f>
        <v>1804</v>
      </c>
      <c r="E39" s="102">
        <f>VLOOKUP(5,$A$4:$AX$32,5,FALSE)</f>
        <v>1958</v>
      </c>
      <c r="F39" s="102">
        <f>VLOOKUP(5,$A$4:$AX$32,6,FALSE)</f>
        <v>1920</v>
      </c>
      <c r="G39" s="102">
        <f>VLOOKUP(5,$A$4:$AX$32,7,FALSE)</f>
        <v>2028</v>
      </c>
      <c r="H39" s="102">
        <f>VLOOKUP(5,$A$4:$AX$32,8,FALSE)</f>
        <v>2006</v>
      </c>
      <c r="I39" s="102">
        <f>VLOOKUP(5,$A$4:$AX$32,9,FALSE)</f>
        <v>1892</v>
      </c>
      <c r="J39" s="102">
        <f>VLOOKUP(5,$A$4:$AX$32,10,FALSE)</f>
        <v>1672</v>
      </c>
      <c r="K39" s="102">
        <f>VLOOKUP(5,$A$4:$AX$32,11,FALSE)</f>
        <v>2199</v>
      </c>
      <c r="L39" s="102">
        <f>VLOOKUP(5,$A$4:$AX$32,12,FALSE)</f>
        <v>1889</v>
      </c>
      <c r="M39" s="102">
        <f>VLOOKUP(5,$A$4:$AX$32,13,FALSE)</f>
        <v>1990</v>
      </c>
      <c r="N39" s="102">
        <f>VLOOKUP(5,$A$4:$AX$32,14,FALSE)</f>
        <v>1925</v>
      </c>
      <c r="O39" s="102">
        <f>VLOOKUP(5,$A$4:$AX$32,15,FALSE)</f>
        <v>1870</v>
      </c>
      <c r="P39" s="102">
        <f>VLOOKUP(5,$A$4:$AX$32,16,FALSE)</f>
        <v>1853</v>
      </c>
      <c r="Q39" s="102">
        <f>VLOOKUP(5,$A$4:$AX$32,17,FALSE)</f>
        <v>1938</v>
      </c>
      <c r="R39" s="102">
        <f>VLOOKUP(5,$A$4:$AX$32,18,FALSE)</f>
        <v>1877</v>
      </c>
      <c r="S39" s="102">
        <f>VLOOKUP(5,$A$4:$AX$32,19,FALSE)</f>
        <v>1885</v>
      </c>
      <c r="T39" s="102">
        <f>VLOOKUP(5,$A$4:$AX$32,20,FALSE)</f>
        <v>1971</v>
      </c>
      <c r="U39" s="102">
        <f>VLOOKUP(5,$A$4:$AX$32,21,FALSE)</f>
        <v>1831</v>
      </c>
      <c r="V39" s="102">
        <f>VLOOKUP(5,$A$4:$AX$32,22,FALSE)</f>
        <v>1759</v>
      </c>
      <c r="W39" s="102">
        <f>VLOOKUP(5,$A$4:$AX$32,23,FALSE)</f>
        <v>1954</v>
      </c>
      <c r="X39" s="102">
        <f>VLOOKUP(5,$A$4:$AX$32,24,FALSE)</f>
        <v>1678</v>
      </c>
      <c r="Y39" s="102">
        <f>VLOOKUP(5,$A$4:$AX$32,25,FALSE)</f>
        <v>1913</v>
      </c>
      <c r="Z39" s="102">
        <f>VLOOKUP(5,$A$4:$AX$32,26,FALSE)</f>
        <v>1781</v>
      </c>
      <c r="AA39" s="102">
        <f>VLOOKUP(5,$A$4:$AX$32,27,FALSE)</f>
        <v>1647</v>
      </c>
      <c r="AB39" s="102">
        <f>VLOOKUP(5,$A$4:$AX$32,28,FALSE)</f>
        <v>1797</v>
      </c>
      <c r="AC39" s="102">
        <f>VLOOKUP(5,$A$4:$AX$32,29,FALSE)</f>
        <v>1582</v>
      </c>
      <c r="AD39" s="102">
        <f>VLOOKUP(5,$A$4:$AX$32,30,FALSE)</f>
        <v>1836</v>
      </c>
      <c r="AE39" s="102">
        <f>VLOOKUP(5,$A$4:$AX$32,31,FALSE)</f>
        <v>1716</v>
      </c>
      <c r="AF39" s="102">
        <f>VLOOKUP(5,$A$4:$AX$32,32,FALSE)</f>
        <v>1580</v>
      </c>
      <c r="AG39" s="102">
        <f>VLOOKUP(5,$A$4:$AX$32,33,FALSE)</f>
        <v>1840</v>
      </c>
    </row>
    <row r="40" spans="1:33" ht="25.5">
      <c r="A40">
        <v>6</v>
      </c>
      <c r="B40" s="77" t="s">
        <v>48</v>
      </c>
      <c r="C40" s="102">
        <f>VLOOKUP(6,$A$4:$AX$32,3,FALSE)</f>
        <v>711</v>
      </c>
      <c r="D40" s="102">
        <f>VLOOKUP(6,$A$4:$AX$32,4,FALSE)</f>
        <v>633</v>
      </c>
      <c r="E40" s="102">
        <f>VLOOKUP(6,$A$4:$AX$32,5,FALSE)</f>
        <v>703</v>
      </c>
      <c r="F40" s="102">
        <f>VLOOKUP(6,$A$4:$AX$32,6,FALSE)</f>
        <v>709</v>
      </c>
      <c r="G40" s="102">
        <f>VLOOKUP(6,$A$4:$AX$32,7,FALSE)</f>
        <v>733</v>
      </c>
      <c r="H40" s="102">
        <f>VLOOKUP(6,$A$4:$AX$32,8,FALSE)</f>
        <v>751</v>
      </c>
      <c r="I40" s="102">
        <f>VLOOKUP(6,$A$4:$AX$32,9,FALSE)</f>
        <v>683</v>
      </c>
      <c r="J40" s="102">
        <f>VLOOKUP(6,$A$4:$AX$32,10,FALSE)</f>
        <v>649</v>
      </c>
      <c r="K40" s="102">
        <f>VLOOKUP(6,$A$4:$AX$32,11,FALSE)</f>
        <v>881</v>
      </c>
      <c r="L40" s="102">
        <f>VLOOKUP(6,$A$4:$AX$32,12,FALSE)</f>
        <v>728</v>
      </c>
      <c r="M40" s="102">
        <f>VLOOKUP(6,$A$4:$AX$32,13,FALSE)</f>
        <v>813</v>
      </c>
      <c r="N40" s="102">
        <f>VLOOKUP(6,$A$4:$AX$32,14,FALSE)</f>
        <v>777</v>
      </c>
      <c r="O40" s="102">
        <f>VLOOKUP(6,$A$4:$AX$32,15,FALSE)</f>
        <v>709</v>
      </c>
      <c r="P40" s="102">
        <f>VLOOKUP(6,$A$4:$AX$32,16,FALSE)</f>
        <v>762</v>
      </c>
      <c r="Q40" s="102">
        <f>VLOOKUP(6,$A$4:$AX$32,17,FALSE)</f>
        <v>777</v>
      </c>
      <c r="R40" s="102">
        <f>VLOOKUP(6,$A$4:$AX$32,18,FALSE)</f>
        <v>763</v>
      </c>
      <c r="S40" s="102">
        <f>VLOOKUP(6,$A$4:$AX$32,19,FALSE)</f>
        <v>738</v>
      </c>
      <c r="T40" s="102">
        <f>VLOOKUP(6,$A$4:$AX$32,20,FALSE)</f>
        <v>808</v>
      </c>
      <c r="U40" s="102">
        <f>VLOOKUP(6,$A$4:$AX$32,21,FALSE)</f>
        <v>753</v>
      </c>
      <c r="V40" s="102">
        <f>VLOOKUP(6,$A$4:$AX$32,22,FALSE)</f>
        <v>695</v>
      </c>
      <c r="W40" s="102">
        <f>VLOOKUP(6,$A$4:$AX$32,23,FALSE)</f>
        <v>819</v>
      </c>
      <c r="X40" s="102">
        <f>VLOOKUP(6,$A$4:$AX$32,24,FALSE)</f>
        <v>688</v>
      </c>
      <c r="Y40" s="102">
        <f>VLOOKUP(6,$A$4:$AX$32,25,FALSE)</f>
        <v>770</v>
      </c>
      <c r="Z40" s="102">
        <f>VLOOKUP(6,$A$4:$AX$32,26,FALSE)</f>
        <v>768</v>
      </c>
      <c r="AA40" s="102">
        <f>VLOOKUP(6,$A$4:$AX$32,27,FALSE)</f>
        <v>692</v>
      </c>
      <c r="AB40" s="102">
        <f>VLOOKUP(6,$A$4:$AX$32,28,FALSE)</f>
        <v>734</v>
      </c>
      <c r="AC40" s="102">
        <f>VLOOKUP(6,$A$4:$AX$32,29,FALSE)</f>
        <v>635</v>
      </c>
      <c r="AD40" s="102">
        <f>VLOOKUP(6,$A$4:$AX$32,30,FALSE)</f>
        <v>713</v>
      </c>
      <c r="AE40" s="102">
        <f>VLOOKUP(6,$A$4:$AX$32,31,FALSE)</f>
        <v>692</v>
      </c>
      <c r="AF40" s="102">
        <f>VLOOKUP(6,$A$4:$AX$32,32,FALSE)</f>
        <v>626</v>
      </c>
      <c r="AG40" s="102">
        <f>VLOOKUP(6,$A$4:$AX$32,33,FALSE)</f>
        <v>761</v>
      </c>
    </row>
    <row r="41" spans="1:33" ht="12.75">
      <c r="A41">
        <v>7</v>
      </c>
      <c r="B41" s="77" t="s">
        <v>49</v>
      </c>
      <c r="C41" s="102">
        <f>VLOOKUP(7,$A$4:$AX$32,3,FALSE)</f>
        <v>0</v>
      </c>
      <c r="D41" s="102">
        <f>VLOOKUP(7,$A$4:$AX$32,4,FALSE)</f>
        <v>0</v>
      </c>
      <c r="E41" s="102">
        <f>VLOOKUP(7,$A$4:$AX$32,5,FALSE)</f>
        <v>0</v>
      </c>
      <c r="F41" s="102">
        <f>VLOOKUP(7,$A$4:$AX$32,6,FALSE)</f>
        <v>0</v>
      </c>
      <c r="G41" s="102">
        <f>VLOOKUP(7,$A$4:$AX$32,7,FALSE)</f>
        <v>0</v>
      </c>
      <c r="H41" s="102">
        <f>VLOOKUP(7,$A$4:$AX$32,8,FALSE)</f>
        <v>0</v>
      </c>
      <c r="I41" s="102">
        <f>VLOOKUP(7,$A$4:$AX$32,9,FALSE)</f>
        <v>0</v>
      </c>
      <c r="J41" s="102">
        <f>VLOOKUP(7,$A$4:$AX$32,10,FALSE)</f>
        <v>0</v>
      </c>
      <c r="K41" s="102">
        <f>VLOOKUP(7,$A$4:$AX$32,11,FALSE)</f>
        <v>0</v>
      </c>
      <c r="L41" s="102">
        <f>VLOOKUP(7,$A$4:$AX$32,12,FALSE)</f>
        <v>0</v>
      </c>
      <c r="M41" s="102">
        <f>VLOOKUP(7,$A$4:$AX$32,13,FALSE)</f>
        <v>0</v>
      </c>
      <c r="N41" s="102">
        <f>VLOOKUP(7,$A$4:$AX$32,14,FALSE)</f>
        <v>0</v>
      </c>
      <c r="O41" s="102">
        <f>VLOOKUP(7,$A$4:$AX$32,15,FALSE)</f>
        <v>0</v>
      </c>
      <c r="P41" s="102">
        <f>VLOOKUP(7,$A$4:$AX$32,16,FALSE)</f>
        <v>0</v>
      </c>
      <c r="Q41" s="102">
        <f>VLOOKUP(7,$A$4:$AX$32,17,FALSE)</f>
        <v>0</v>
      </c>
      <c r="R41" s="102">
        <f>VLOOKUP(7,$A$4:$AX$32,18,FALSE)</f>
        <v>0</v>
      </c>
      <c r="S41" s="102">
        <f>VLOOKUP(7,$A$4:$AX$32,19,FALSE)</f>
        <v>0</v>
      </c>
      <c r="T41" s="102">
        <f>VLOOKUP(7,$A$4:$AX$32,20,FALSE)</f>
        <v>0</v>
      </c>
      <c r="U41" s="102">
        <f>VLOOKUP(7,$A$4:$AX$32,21,FALSE)</f>
        <v>0</v>
      </c>
      <c r="V41" s="102">
        <f>VLOOKUP(7,$A$4:$AX$32,22,FALSE)</f>
        <v>0</v>
      </c>
      <c r="W41" s="102">
        <f>VLOOKUP(7,$A$4:$AX$32,23,FALSE)</f>
        <v>0</v>
      </c>
      <c r="X41" s="102">
        <f>VLOOKUP(7,$A$4:$AX$32,24,FALSE)</f>
        <v>0</v>
      </c>
      <c r="Y41" s="102">
        <f>VLOOKUP(7,$A$4:$AX$32,25,FALSE)</f>
        <v>0</v>
      </c>
      <c r="Z41" s="102">
        <f>VLOOKUP(7,$A$4:$AX$32,26,FALSE)</f>
        <v>9</v>
      </c>
      <c r="AA41" s="102">
        <f>VLOOKUP(7,$A$4:$AX$32,27,FALSE)</f>
        <v>24</v>
      </c>
      <c r="AB41" s="102">
        <f>VLOOKUP(7,$A$4:$AX$32,28,FALSE)</f>
        <v>31</v>
      </c>
      <c r="AC41" s="102">
        <f>VLOOKUP(7,$A$4:$AX$32,29,FALSE)</f>
        <v>41</v>
      </c>
      <c r="AD41" s="102">
        <f>VLOOKUP(7,$A$4:$AX$32,30,FALSE)</f>
        <v>72</v>
      </c>
      <c r="AE41" s="102">
        <f>VLOOKUP(7,$A$4:$AX$32,31,FALSE)</f>
        <v>87</v>
      </c>
      <c r="AF41" s="102">
        <f>VLOOKUP(7,$A$4:$AX$32,32,FALSE)</f>
        <v>90</v>
      </c>
      <c r="AG41" s="102">
        <f>VLOOKUP(7,$A$4:$AX$32,33,FALSE)</f>
        <v>119</v>
      </c>
    </row>
    <row r="42" spans="1:33" ht="25.5">
      <c r="A42">
        <v>8</v>
      </c>
      <c r="B42" s="77" t="s">
        <v>50</v>
      </c>
      <c r="C42" s="102">
        <f>VLOOKUP(8,$A$4:$AX$32,3,FALSE)</f>
        <v>105</v>
      </c>
      <c r="D42" s="102">
        <f>VLOOKUP(8,$A$4:$AX$32,4,FALSE)</f>
        <v>93</v>
      </c>
      <c r="E42" s="102">
        <f>VLOOKUP(8,$A$4:$AX$32,5,FALSE)</f>
        <v>96</v>
      </c>
      <c r="F42" s="102">
        <f>VLOOKUP(8,$A$4:$AX$32,6,FALSE)</f>
        <v>106</v>
      </c>
      <c r="G42" s="102">
        <f>VLOOKUP(8,$A$4:$AX$32,7,FALSE)</f>
        <v>97</v>
      </c>
      <c r="H42" s="102">
        <f>VLOOKUP(8,$A$4:$AX$32,8,FALSE)</f>
        <v>123</v>
      </c>
      <c r="I42" s="102">
        <f>VLOOKUP(8,$A$4:$AX$32,9,FALSE)</f>
        <v>114</v>
      </c>
      <c r="J42" s="102">
        <f>VLOOKUP(8,$A$4:$AX$32,10,FALSE)</f>
        <v>111</v>
      </c>
      <c r="K42" s="102">
        <f>VLOOKUP(8,$A$4:$AX$32,11,FALSE)</f>
        <v>127</v>
      </c>
      <c r="L42" s="102">
        <f>VLOOKUP(8,$A$4:$AX$32,12,FALSE)</f>
        <v>98</v>
      </c>
      <c r="M42" s="102">
        <f>VLOOKUP(8,$A$4:$AX$32,13,FALSE)</f>
        <v>122</v>
      </c>
      <c r="N42" s="102">
        <f>VLOOKUP(8,$A$4:$AX$32,14,FALSE)</f>
        <v>106</v>
      </c>
      <c r="O42" s="102">
        <f>VLOOKUP(8,$A$4:$AX$32,15,FALSE)</f>
        <v>115</v>
      </c>
      <c r="P42" s="102">
        <f>VLOOKUP(8,$A$4:$AX$32,16,FALSE)</f>
        <v>121</v>
      </c>
      <c r="Q42" s="102">
        <f>VLOOKUP(8,$A$4:$AX$32,17,FALSE)</f>
        <v>123</v>
      </c>
      <c r="R42" s="102">
        <f>VLOOKUP(8,$A$4:$AX$32,18,FALSE)</f>
        <v>125</v>
      </c>
      <c r="S42" s="102">
        <f>VLOOKUP(8,$A$4:$AX$32,19,FALSE)</f>
        <v>129</v>
      </c>
      <c r="T42" s="102">
        <f>VLOOKUP(8,$A$4:$AX$32,20,FALSE)</f>
        <v>132</v>
      </c>
      <c r="U42" s="102">
        <f>VLOOKUP(8,$A$4:$AX$32,21,FALSE)</f>
        <v>128</v>
      </c>
      <c r="V42" s="102">
        <f>VLOOKUP(8,$A$4:$AX$32,22,FALSE)</f>
        <v>130</v>
      </c>
      <c r="W42" s="102">
        <f>VLOOKUP(8,$A$4:$AX$32,23,FALSE)</f>
        <v>134</v>
      </c>
      <c r="X42" s="102">
        <f>VLOOKUP(8,$A$4:$AX$32,24,FALSE)</f>
        <v>122</v>
      </c>
      <c r="Y42" s="102">
        <f>VLOOKUP(8,$A$4:$AX$32,25,FALSE)</f>
        <v>135</v>
      </c>
      <c r="Z42" s="102">
        <f>VLOOKUP(8,$A$4:$AX$32,26,FALSE)</f>
        <v>122</v>
      </c>
      <c r="AA42" s="102">
        <f>VLOOKUP(8,$A$4:$AX$32,27,FALSE)</f>
        <v>121</v>
      </c>
      <c r="AB42" s="102">
        <f>VLOOKUP(8,$A$4:$AX$32,28,FALSE)</f>
        <v>128</v>
      </c>
      <c r="AC42" s="102">
        <f>VLOOKUP(8,$A$4:$AX$32,29,FALSE)</f>
        <v>110</v>
      </c>
      <c r="AD42" s="102">
        <f>VLOOKUP(8,$A$4:$AX$32,30,FALSE)</f>
        <v>126</v>
      </c>
      <c r="AE42" s="102">
        <f>VLOOKUP(8,$A$4:$AX$32,31,FALSE)</f>
        <v>116</v>
      </c>
      <c r="AF42" s="102">
        <f>VLOOKUP(8,$A$4:$AX$32,32,FALSE)</f>
        <v>116</v>
      </c>
      <c r="AG42" s="102">
        <f>VLOOKUP(8,$A$4:$AX$32,33,FALSE)</f>
        <v>125</v>
      </c>
    </row>
    <row r="43" spans="1:33" ht="25.5">
      <c r="A43">
        <v>9</v>
      </c>
      <c r="B43" s="77" t="s">
        <v>51</v>
      </c>
      <c r="C43" s="102">
        <f>VLOOKUP(9,$A$4:$AX$32,3,FALSE)</f>
        <v>192</v>
      </c>
      <c r="D43" s="102">
        <f>VLOOKUP(9,$A$4:$AX$32,4,FALSE)</f>
        <v>189</v>
      </c>
      <c r="E43" s="102">
        <f>VLOOKUP(9,$A$4:$AX$32,5,FALSE)</f>
        <v>189</v>
      </c>
      <c r="F43" s="102">
        <f>VLOOKUP(9,$A$4:$AX$32,6,FALSE)</f>
        <v>195</v>
      </c>
      <c r="G43" s="102">
        <f>VLOOKUP(9,$A$4:$AX$32,7,FALSE)</f>
        <v>208</v>
      </c>
      <c r="H43" s="102">
        <f>VLOOKUP(9,$A$4:$AX$32,8,FALSE)</f>
        <v>209</v>
      </c>
      <c r="I43" s="102">
        <f>VLOOKUP(9,$A$4:$AX$32,9,FALSE)</f>
        <v>202</v>
      </c>
      <c r="J43" s="102">
        <f>VLOOKUP(9,$A$4:$AX$32,10,FALSE)</f>
        <v>193</v>
      </c>
      <c r="K43" s="102">
        <f>VLOOKUP(9,$A$4:$AX$32,11,FALSE)</f>
        <v>225</v>
      </c>
      <c r="L43" s="102">
        <f>VLOOKUP(9,$A$4:$AX$32,12,FALSE)</f>
        <v>228</v>
      </c>
      <c r="M43" s="102">
        <f>VLOOKUP(9,$A$4:$AX$32,13,FALSE)</f>
        <v>227</v>
      </c>
      <c r="N43" s="102">
        <f>VLOOKUP(9,$A$4:$AX$32,14,FALSE)</f>
        <v>215</v>
      </c>
      <c r="O43" s="102">
        <f>VLOOKUP(9,$A$4:$AX$32,15,FALSE)</f>
        <v>210</v>
      </c>
      <c r="P43" s="102">
        <f>VLOOKUP(9,$A$4:$AX$32,16,FALSE)</f>
        <v>225</v>
      </c>
      <c r="Q43" s="102">
        <f>VLOOKUP(9,$A$4:$AX$32,17,FALSE)</f>
        <v>186</v>
      </c>
      <c r="R43" s="102">
        <f>VLOOKUP(9,$A$4:$AX$32,18,FALSE)</f>
        <v>210</v>
      </c>
      <c r="S43" s="102">
        <f>VLOOKUP(9,$A$4:$AX$32,19,FALSE)</f>
        <v>215</v>
      </c>
      <c r="T43" s="102">
        <f>VLOOKUP(9,$A$4:$AX$32,20,FALSE)</f>
        <v>217</v>
      </c>
      <c r="U43" s="102">
        <f>VLOOKUP(9,$A$4:$AX$32,21,FALSE)</f>
        <v>199</v>
      </c>
      <c r="V43" s="102">
        <f>VLOOKUP(9,$A$4:$AX$32,22,FALSE)</f>
        <v>212</v>
      </c>
      <c r="W43" s="102">
        <f>VLOOKUP(9,$A$4:$AX$32,23,FALSE)</f>
        <v>217</v>
      </c>
      <c r="X43" s="102">
        <f>VLOOKUP(9,$A$4:$AX$32,24,FALSE)</f>
        <v>185</v>
      </c>
      <c r="Y43" s="102">
        <f>VLOOKUP(9,$A$4:$AX$32,25,FALSE)</f>
        <v>210</v>
      </c>
      <c r="Z43" s="102">
        <f>VLOOKUP(9,$A$4:$AX$32,26,FALSE)</f>
        <v>201</v>
      </c>
      <c r="AA43" s="102">
        <f>VLOOKUP(9,$A$4:$AX$32,27,FALSE)</f>
        <v>197</v>
      </c>
      <c r="AB43" s="102">
        <f>VLOOKUP(9,$A$4:$AX$32,28,FALSE)</f>
        <v>212</v>
      </c>
      <c r="AC43" s="102">
        <f>VLOOKUP(9,$A$4:$AX$32,29,FALSE)</f>
        <v>182</v>
      </c>
      <c r="AD43" s="102">
        <f>VLOOKUP(9,$A$4:$AX$32,30,FALSE)</f>
        <v>220</v>
      </c>
      <c r="AE43" s="102">
        <f>VLOOKUP(9,$A$4:$AX$32,31,FALSE)</f>
        <v>200</v>
      </c>
      <c r="AF43" s="102">
        <f>VLOOKUP(9,$A$4:$AX$32,32,FALSE)</f>
        <v>179</v>
      </c>
      <c r="AG43" s="102">
        <f>VLOOKUP(9,$A$4:$AX$32,33,FALSE)</f>
        <v>199</v>
      </c>
    </row>
    <row r="44" spans="1:33" ht="25.5">
      <c r="A44">
        <v>10</v>
      </c>
      <c r="B44" s="77" t="s">
        <v>52</v>
      </c>
      <c r="C44" s="102">
        <f>VLOOKUP(10,$A$4:$AX$32,3,FALSE)</f>
        <v>264</v>
      </c>
      <c r="D44" s="102">
        <f>VLOOKUP(10,$A$4:$AX$32,4,FALSE)</f>
        <v>276</v>
      </c>
      <c r="E44" s="102">
        <f>VLOOKUP(10,$A$4:$AX$32,5,FALSE)</f>
        <v>269</v>
      </c>
      <c r="F44" s="102">
        <f>VLOOKUP(10,$A$4:$AX$32,6,FALSE)</f>
        <v>284</v>
      </c>
      <c r="G44" s="102">
        <f>VLOOKUP(10,$A$4:$AX$32,7,FALSE)</f>
        <v>306</v>
      </c>
      <c r="H44" s="102">
        <f>VLOOKUP(10,$A$4:$AX$32,8,FALSE)</f>
        <v>323</v>
      </c>
      <c r="I44" s="102">
        <f>VLOOKUP(10,$A$4:$AX$32,9,FALSE)</f>
        <v>315</v>
      </c>
      <c r="J44" s="102">
        <f>VLOOKUP(10,$A$4:$AX$32,10,FALSE)</f>
        <v>271</v>
      </c>
      <c r="K44" s="102">
        <f>VLOOKUP(10,$A$4:$AX$32,11,FALSE)</f>
        <v>388</v>
      </c>
      <c r="L44" s="102">
        <f>VLOOKUP(10,$A$4:$AX$32,12,FALSE)</f>
        <v>341</v>
      </c>
      <c r="M44" s="102">
        <f>VLOOKUP(10,$A$4:$AX$32,13,FALSE)</f>
        <v>353</v>
      </c>
      <c r="N44" s="102">
        <f>VLOOKUP(10,$A$4:$AX$32,14,FALSE)</f>
        <v>339</v>
      </c>
      <c r="O44" s="102">
        <f>VLOOKUP(10,$A$4:$AX$32,15,FALSE)</f>
        <v>328</v>
      </c>
      <c r="P44" s="102">
        <f>VLOOKUP(10,$A$4:$AX$32,16,FALSE)</f>
        <v>326</v>
      </c>
      <c r="Q44" s="102">
        <f>VLOOKUP(10,$A$4:$AX$32,17,FALSE)</f>
        <v>324</v>
      </c>
      <c r="R44" s="102">
        <f>VLOOKUP(10,$A$4:$AX$32,18,FALSE)</f>
        <v>342</v>
      </c>
      <c r="S44" s="102">
        <f>VLOOKUP(10,$A$4:$AX$32,19,FALSE)</f>
        <v>353</v>
      </c>
      <c r="T44" s="102">
        <f>VLOOKUP(10,$A$4:$AX$32,20,FALSE)</f>
        <v>377</v>
      </c>
      <c r="U44" s="102">
        <f>VLOOKUP(10,$A$4:$AX$32,21,FALSE)</f>
        <v>340</v>
      </c>
      <c r="V44" s="102">
        <f>VLOOKUP(10,$A$4:$AX$32,22,FALSE)</f>
        <v>362</v>
      </c>
      <c r="W44" s="102">
        <f>VLOOKUP(10,$A$4:$AX$32,23,FALSE)</f>
        <v>380</v>
      </c>
      <c r="X44" s="102">
        <f>VLOOKUP(10,$A$4:$AX$32,24,FALSE)</f>
        <v>335</v>
      </c>
      <c r="Y44" s="102">
        <f>VLOOKUP(10,$A$4:$AX$32,25,FALSE)</f>
        <v>380</v>
      </c>
      <c r="Z44" s="102">
        <f>VLOOKUP(10,$A$4:$AX$32,26,FALSE)</f>
        <v>373</v>
      </c>
      <c r="AA44" s="102">
        <f>VLOOKUP(10,$A$4:$AX$32,27,FALSE)</f>
        <v>338</v>
      </c>
      <c r="AB44" s="102">
        <f>VLOOKUP(10,$A$4:$AX$32,28,FALSE)</f>
        <v>359</v>
      </c>
      <c r="AC44" s="102">
        <f>VLOOKUP(10,$A$4:$AX$32,29,FALSE)</f>
        <v>334</v>
      </c>
      <c r="AD44" s="102">
        <f>VLOOKUP(10,$A$4:$AX$32,30,FALSE)</f>
        <v>363</v>
      </c>
      <c r="AE44" s="102">
        <f>VLOOKUP(10,$A$4:$AX$32,31,FALSE)</f>
        <v>323</v>
      </c>
      <c r="AF44" s="102">
        <f>VLOOKUP(10,$A$4:$AX$32,32,FALSE)</f>
        <v>327</v>
      </c>
      <c r="AG44" s="102">
        <f>VLOOKUP(10,$A$4:$AX$32,33,FALSE)</f>
        <v>339</v>
      </c>
    </row>
    <row r="45" spans="1:33" ht="12.75">
      <c r="A45">
        <v>11</v>
      </c>
      <c r="B45" s="77" t="s">
        <v>53</v>
      </c>
      <c r="C45" s="102">
        <f>VLOOKUP(11,$A$4:$AX$32,3,FALSE)</f>
        <v>1347</v>
      </c>
      <c r="D45" s="102">
        <f>VLOOKUP(11,$A$4:$AX$32,4,FALSE)</f>
        <v>1278</v>
      </c>
      <c r="E45" s="102">
        <f>VLOOKUP(11,$A$4:$AX$32,5,FALSE)</f>
        <v>1299</v>
      </c>
      <c r="F45" s="102">
        <f>VLOOKUP(11,$A$4:$AX$32,6,FALSE)</f>
        <v>1312</v>
      </c>
      <c r="G45" s="102">
        <f>VLOOKUP(11,$A$4:$AX$32,7,FALSE)</f>
        <v>1396</v>
      </c>
      <c r="H45" s="102">
        <f>VLOOKUP(11,$A$4:$AX$32,8,FALSE)</f>
        <v>1457</v>
      </c>
      <c r="I45" s="102">
        <f>VLOOKUP(11,$A$4:$AX$32,9,FALSE)</f>
        <v>1353</v>
      </c>
      <c r="J45" s="102">
        <f>VLOOKUP(11,$A$4:$AX$32,10,FALSE)</f>
        <v>1286</v>
      </c>
      <c r="K45" s="102">
        <f>VLOOKUP(11,$A$4:$AX$32,11,FALSE)</f>
        <v>1674</v>
      </c>
      <c r="L45" s="102">
        <f>VLOOKUP(11,$A$4:$AX$32,12,FALSE)</f>
        <v>1528</v>
      </c>
      <c r="M45" s="102">
        <f>VLOOKUP(11,$A$4:$AX$32,13,FALSE)</f>
        <v>1589</v>
      </c>
      <c r="N45" s="102">
        <f>VLOOKUP(11,$A$4:$AX$32,14,FALSE)</f>
        <v>1466</v>
      </c>
      <c r="O45" s="102">
        <f>VLOOKUP(11,$A$4:$AX$32,15,FALSE)</f>
        <v>1461</v>
      </c>
      <c r="P45" s="102">
        <f>VLOOKUP(11,$A$4:$AX$32,16,FALSE)</f>
        <v>1530</v>
      </c>
      <c r="Q45" s="102">
        <f>VLOOKUP(11,$A$4:$AX$32,17,FALSE)</f>
        <v>1490</v>
      </c>
      <c r="R45" s="102">
        <f>VLOOKUP(11,$A$4:$AX$32,18,FALSE)</f>
        <v>1524</v>
      </c>
      <c r="S45" s="102">
        <f>VLOOKUP(11,$A$4:$AX$32,19,FALSE)</f>
        <v>1623</v>
      </c>
      <c r="T45" s="102">
        <f>VLOOKUP(11,$A$4:$AX$32,20,FALSE)</f>
        <v>1636</v>
      </c>
      <c r="U45" s="102">
        <f>VLOOKUP(11,$A$4:$AX$32,21,FALSE)</f>
        <v>1565</v>
      </c>
      <c r="V45" s="102">
        <f>VLOOKUP(11,$A$4:$AX$32,22,FALSE)</f>
        <v>1576</v>
      </c>
      <c r="W45" s="102">
        <f>VLOOKUP(11,$A$4:$AX$32,23,FALSE)</f>
        <v>1694</v>
      </c>
      <c r="X45" s="102">
        <f>VLOOKUP(11,$A$4:$AX$32,24,FALSE)</f>
        <v>1571</v>
      </c>
      <c r="Y45" s="102">
        <f>VLOOKUP(11,$A$4:$AX$32,25,FALSE)</f>
        <v>1746</v>
      </c>
      <c r="Z45" s="102">
        <f>VLOOKUP(11,$A$4:$AX$32,26,FALSE)</f>
        <v>1703</v>
      </c>
      <c r="AA45" s="102">
        <f>VLOOKUP(11,$A$4:$AX$32,27,FALSE)</f>
        <v>1589</v>
      </c>
      <c r="AB45" s="102">
        <f>VLOOKUP(11,$A$4:$AX$32,28,FALSE)</f>
        <v>1719</v>
      </c>
      <c r="AC45" s="102">
        <f>VLOOKUP(11,$A$4:$AX$32,29,FALSE)</f>
        <v>1583</v>
      </c>
      <c r="AD45" s="102">
        <f>VLOOKUP(11,$A$4:$AX$32,30,FALSE)</f>
        <v>1718</v>
      </c>
      <c r="AE45" s="102">
        <f>VLOOKUP(11,$A$4:$AX$32,31,FALSE)</f>
        <v>1642</v>
      </c>
      <c r="AF45" s="102">
        <f>VLOOKUP(11,$A$4:$AX$32,32,FALSE)</f>
        <v>1561</v>
      </c>
      <c r="AG45" s="102">
        <f>VLOOKUP(11,$A$4:$AX$32,33,FALSE)</f>
        <v>1762</v>
      </c>
    </row>
    <row r="46" spans="1:33" ht="12.75">
      <c r="A46">
        <v>12</v>
      </c>
      <c r="B46" s="77" t="s">
        <v>54</v>
      </c>
      <c r="C46" s="102">
        <f>VLOOKUP(12,$A$4:$AX$32,3,FALSE)</f>
        <v>469</v>
      </c>
      <c r="D46" s="102">
        <f>VLOOKUP(12,$A$4:$AX$32,4,FALSE)</f>
        <v>425</v>
      </c>
      <c r="E46" s="102">
        <f>VLOOKUP(12,$A$4:$AX$32,5,FALSE)</f>
        <v>472</v>
      </c>
      <c r="F46" s="102">
        <f>VLOOKUP(12,$A$4:$AX$32,6,FALSE)</f>
        <v>512</v>
      </c>
      <c r="G46" s="102">
        <f>VLOOKUP(12,$A$4:$AX$32,7,FALSE)</f>
        <v>519</v>
      </c>
      <c r="H46" s="102">
        <f>VLOOKUP(12,$A$4:$AX$32,8,FALSE)</f>
        <v>537</v>
      </c>
      <c r="I46" s="102">
        <f>VLOOKUP(12,$A$4:$AX$32,9,FALSE)</f>
        <v>520</v>
      </c>
      <c r="J46" s="102">
        <f>VLOOKUP(12,$A$4:$AX$32,10,FALSE)</f>
        <v>495</v>
      </c>
      <c r="K46" s="102">
        <f>VLOOKUP(12,$A$4:$AX$32,11,FALSE)</f>
        <v>632</v>
      </c>
      <c r="L46" s="102">
        <f>VLOOKUP(12,$A$4:$AX$32,12,FALSE)</f>
        <v>549</v>
      </c>
      <c r="M46" s="102">
        <f>VLOOKUP(12,$A$4:$AX$32,13,FALSE)</f>
        <v>582</v>
      </c>
      <c r="N46" s="102">
        <f>VLOOKUP(12,$A$4:$AX$32,14,FALSE)</f>
        <v>553</v>
      </c>
      <c r="O46" s="102">
        <f>VLOOKUP(12,$A$4:$AX$32,15,FALSE)</f>
        <v>527</v>
      </c>
      <c r="P46" s="102">
        <f>VLOOKUP(12,$A$4:$AX$32,16,FALSE)</f>
        <v>532</v>
      </c>
      <c r="Q46" s="102">
        <f>VLOOKUP(12,$A$4:$AX$32,17,FALSE)</f>
        <v>565</v>
      </c>
      <c r="R46" s="102">
        <f>VLOOKUP(12,$A$4:$AX$32,18,FALSE)</f>
        <v>555</v>
      </c>
      <c r="S46" s="102">
        <f>VLOOKUP(12,$A$4:$AX$32,19,FALSE)</f>
        <v>563</v>
      </c>
      <c r="T46" s="102">
        <f>VLOOKUP(12,$A$4:$AX$32,20,FALSE)</f>
        <v>601</v>
      </c>
      <c r="U46" s="102">
        <f>VLOOKUP(12,$A$4:$AX$32,21,FALSE)</f>
        <v>561</v>
      </c>
      <c r="V46" s="102">
        <f>VLOOKUP(12,$A$4:$AX$32,22,FALSE)</f>
        <v>541</v>
      </c>
      <c r="W46" s="102">
        <f>VLOOKUP(12,$A$4:$AX$32,23,FALSE)</f>
        <v>631</v>
      </c>
      <c r="X46" s="102">
        <f>VLOOKUP(12,$A$4:$AX$32,24,FALSE)</f>
        <v>577</v>
      </c>
      <c r="Y46" s="102">
        <f>VLOOKUP(12,$A$4:$AX$32,25,FALSE)</f>
        <v>635</v>
      </c>
      <c r="Z46" s="102">
        <f>VLOOKUP(12,$A$4:$AX$32,26,FALSE)</f>
        <v>624</v>
      </c>
      <c r="AA46" s="102">
        <f>VLOOKUP(12,$A$4:$AX$32,27,FALSE)</f>
        <v>588</v>
      </c>
      <c r="AB46" s="102">
        <f>VLOOKUP(12,$A$4:$AX$32,28,FALSE)</f>
        <v>629</v>
      </c>
      <c r="AC46" s="102">
        <f>VLOOKUP(12,$A$4:$AX$32,29,FALSE)</f>
        <v>591</v>
      </c>
      <c r="AD46" s="102">
        <f>VLOOKUP(12,$A$4:$AX$32,30,FALSE)</f>
        <v>641</v>
      </c>
      <c r="AE46" s="102">
        <f>VLOOKUP(12,$A$4:$AX$32,31,FALSE)</f>
        <v>590</v>
      </c>
      <c r="AF46" s="102">
        <f>VLOOKUP(12,$A$4:$AX$32,32,FALSE)</f>
        <v>577</v>
      </c>
      <c r="AG46" s="102">
        <f>VLOOKUP(12,$A$4:$AX$32,33,FALSE)</f>
        <v>622</v>
      </c>
    </row>
    <row r="47" spans="1:33" ht="12.75">
      <c r="A47">
        <v>13</v>
      </c>
      <c r="B47" s="77" t="s">
        <v>55</v>
      </c>
      <c r="C47" s="102">
        <f>VLOOKUP(13,$A$4:$AX$32,3,FALSE)</f>
        <v>397</v>
      </c>
      <c r="D47" s="102">
        <f>VLOOKUP(13,$A$4:$AX$32,4,FALSE)</f>
        <v>384</v>
      </c>
      <c r="E47" s="102">
        <f>VLOOKUP(13,$A$4:$AX$32,5,FALSE)</f>
        <v>425</v>
      </c>
      <c r="F47" s="102">
        <f>VLOOKUP(13,$A$4:$AX$32,6,FALSE)</f>
        <v>397</v>
      </c>
      <c r="G47" s="102">
        <f>VLOOKUP(13,$A$4:$AX$32,7,FALSE)</f>
        <v>421</v>
      </c>
      <c r="H47" s="102">
        <f>VLOOKUP(13,$A$4:$AX$32,8,FALSE)</f>
        <v>423</v>
      </c>
      <c r="I47" s="102">
        <f>VLOOKUP(13,$A$4:$AX$32,9,FALSE)</f>
        <v>413</v>
      </c>
      <c r="J47" s="102">
        <f>VLOOKUP(13,$A$4:$AX$32,10,FALSE)</f>
        <v>360</v>
      </c>
      <c r="K47" s="102">
        <f>VLOOKUP(13,$A$4:$AX$32,11,FALSE)</f>
        <v>489</v>
      </c>
      <c r="L47" s="102">
        <f>VLOOKUP(13,$A$4:$AX$32,12,FALSE)</f>
        <v>427</v>
      </c>
      <c r="M47" s="102">
        <f>VLOOKUP(13,$A$4:$AX$32,13,FALSE)</f>
        <v>445</v>
      </c>
      <c r="N47" s="102">
        <f>VLOOKUP(13,$A$4:$AX$32,14,FALSE)</f>
        <v>424</v>
      </c>
      <c r="O47" s="102">
        <f>VLOOKUP(13,$A$4:$AX$32,15,FALSE)</f>
        <v>418</v>
      </c>
      <c r="P47" s="102">
        <f>VLOOKUP(13,$A$4:$AX$32,16,FALSE)</f>
        <v>461</v>
      </c>
      <c r="Q47" s="102">
        <f>VLOOKUP(13,$A$4:$AX$32,17,FALSE)</f>
        <v>433</v>
      </c>
      <c r="R47" s="102">
        <f>VLOOKUP(13,$A$4:$AX$32,18,FALSE)</f>
        <v>452</v>
      </c>
      <c r="S47" s="102">
        <f>VLOOKUP(13,$A$4:$AX$32,19,FALSE)</f>
        <v>450</v>
      </c>
      <c r="T47" s="102">
        <f>VLOOKUP(13,$A$4:$AX$32,20,FALSE)</f>
        <v>463</v>
      </c>
      <c r="U47" s="102">
        <f>VLOOKUP(13,$A$4:$AX$32,21,FALSE)</f>
        <v>438</v>
      </c>
      <c r="V47" s="102">
        <f>VLOOKUP(13,$A$4:$AX$32,22,FALSE)</f>
        <v>432</v>
      </c>
      <c r="W47" s="102">
        <f>VLOOKUP(13,$A$4:$AX$32,23,FALSE)</f>
        <v>439</v>
      </c>
      <c r="X47" s="102">
        <f>VLOOKUP(13,$A$4:$AX$32,24,FALSE)</f>
        <v>411</v>
      </c>
      <c r="Y47" s="102">
        <f>VLOOKUP(13,$A$4:$AX$32,25,FALSE)</f>
        <v>462</v>
      </c>
      <c r="Z47" s="102">
        <f>VLOOKUP(13,$A$4:$AX$32,26,FALSE)</f>
        <v>463</v>
      </c>
      <c r="AA47" s="102">
        <f>VLOOKUP(13,$A$4:$AX$32,27,FALSE)</f>
        <v>415</v>
      </c>
      <c r="AB47" s="102">
        <f>VLOOKUP(13,$A$4:$AX$32,28,FALSE)</f>
        <v>445</v>
      </c>
      <c r="AC47" s="102">
        <f>VLOOKUP(13,$A$4:$AX$32,29,FALSE)</f>
        <v>400</v>
      </c>
      <c r="AD47" s="102">
        <f>VLOOKUP(13,$A$4:$AX$32,30,FALSE)</f>
        <v>423</v>
      </c>
      <c r="AE47" s="102">
        <f>VLOOKUP(13,$A$4:$AX$32,31,FALSE)</f>
        <v>404</v>
      </c>
      <c r="AF47" s="102">
        <f>VLOOKUP(13,$A$4:$AX$32,32,FALSE)</f>
        <v>410</v>
      </c>
      <c r="AG47" s="102">
        <f>VLOOKUP(13,$A$4:$AX$32,33,FALSE)</f>
        <v>477</v>
      </c>
    </row>
    <row r="48" spans="1:33" ht="12.75">
      <c r="A48">
        <v>14</v>
      </c>
      <c r="B48" s="77" t="s">
        <v>56</v>
      </c>
      <c r="C48" s="102">
        <f>VLOOKUP(14,$A$4:$AX$32,3,FALSE)</f>
        <v>21</v>
      </c>
      <c r="D48" s="102">
        <f>VLOOKUP(14,$A$4:$AX$32,4,FALSE)</f>
        <v>18</v>
      </c>
      <c r="E48" s="102">
        <f>VLOOKUP(14,$A$4:$AX$32,5,FALSE)</f>
        <v>24</v>
      </c>
      <c r="F48" s="102">
        <f>VLOOKUP(14,$A$4:$AX$32,6,FALSE)</f>
        <v>24</v>
      </c>
      <c r="G48" s="102">
        <f>VLOOKUP(14,$A$4:$AX$32,7,FALSE)</f>
        <v>22</v>
      </c>
      <c r="H48" s="102">
        <f>VLOOKUP(14,$A$4:$AX$32,8,FALSE)</f>
        <v>32</v>
      </c>
      <c r="I48" s="102">
        <f>VLOOKUP(14,$A$4:$AX$32,9,FALSE)</f>
        <v>30</v>
      </c>
      <c r="J48" s="102">
        <f>VLOOKUP(14,$A$4:$AX$32,10,FALSE)</f>
        <v>23</v>
      </c>
      <c r="K48" s="102">
        <f>VLOOKUP(14,$A$4:$AX$32,11,FALSE)</f>
        <v>33</v>
      </c>
      <c r="L48" s="102">
        <f>VLOOKUP(14,$A$4:$AX$32,12,FALSE)</f>
        <v>33</v>
      </c>
      <c r="M48" s="102">
        <f>VLOOKUP(14,$A$4:$AX$32,13,FALSE)</f>
        <v>34</v>
      </c>
      <c r="N48" s="102">
        <f>VLOOKUP(14,$A$4:$AX$32,14,FALSE)</f>
        <v>40</v>
      </c>
      <c r="O48" s="102">
        <f>VLOOKUP(14,$A$4:$AX$32,15,FALSE)</f>
        <v>42</v>
      </c>
      <c r="P48" s="102">
        <f>VLOOKUP(14,$A$4:$AX$32,16,FALSE)</f>
        <v>42</v>
      </c>
      <c r="Q48" s="102">
        <f>VLOOKUP(14,$A$4:$AX$32,17,FALSE)</f>
        <v>45</v>
      </c>
      <c r="R48" s="102">
        <f>VLOOKUP(14,$A$4:$AX$32,18,FALSE)</f>
        <v>40</v>
      </c>
      <c r="S48" s="102">
        <f>VLOOKUP(14,$A$4:$AX$32,19,FALSE)</f>
        <v>52</v>
      </c>
      <c r="T48" s="102">
        <f>VLOOKUP(14,$A$4:$AX$32,20,FALSE)</f>
        <v>59</v>
      </c>
      <c r="U48" s="102">
        <f>VLOOKUP(14,$A$4:$AX$32,21,FALSE)</f>
        <v>48</v>
      </c>
      <c r="V48" s="102">
        <f>VLOOKUP(14,$A$4:$AX$32,22,FALSE)</f>
        <v>54</v>
      </c>
      <c r="W48" s="102">
        <f>VLOOKUP(14,$A$4:$AX$32,23,FALSE)</f>
        <v>75</v>
      </c>
      <c r="X48" s="102">
        <f>VLOOKUP(14,$A$4:$AX$32,24,FALSE)</f>
        <v>57</v>
      </c>
      <c r="Y48" s="102">
        <f>VLOOKUP(14,$A$4:$AX$32,25,FALSE)</f>
        <v>73</v>
      </c>
      <c r="Z48" s="102">
        <f>VLOOKUP(14,$A$4:$AX$32,26,FALSE)</f>
        <v>70</v>
      </c>
      <c r="AA48" s="102">
        <f>VLOOKUP(14,$A$4:$AX$32,27,FALSE)</f>
        <v>80</v>
      </c>
      <c r="AB48" s="102">
        <f>VLOOKUP(14,$A$4:$AX$32,28,FALSE)</f>
        <v>81</v>
      </c>
      <c r="AC48" s="102">
        <f>VLOOKUP(14,$A$4:$AX$32,29,FALSE)</f>
        <v>72</v>
      </c>
      <c r="AD48" s="102">
        <f>VLOOKUP(14,$A$4:$AX$32,30,FALSE)</f>
        <v>85</v>
      </c>
      <c r="AE48" s="102">
        <f>VLOOKUP(14,$A$4:$AX$32,31,FALSE)</f>
        <v>78</v>
      </c>
      <c r="AF48" s="102">
        <f>VLOOKUP(14,$A$4:$AX$32,32,FALSE)</f>
        <v>60</v>
      </c>
      <c r="AG48" s="102">
        <f>VLOOKUP(14,$A$4:$AX$32,33,FALSE)</f>
        <v>78</v>
      </c>
    </row>
    <row r="49" spans="1:33" ht="12.75">
      <c r="A49">
        <v>15</v>
      </c>
      <c r="B49" s="77" t="s">
        <v>57</v>
      </c>
      <c r="C49" s="102">
        <f>VLOOKUP(15,$A$4:$AX$32,3,FALSE)</f>
        <v>0</v>
      </c>
      <c r="D49" s="102">
        <f>VLOOKUP(15,$A$4:$AX$32,4,FALSE)</f>
        <v>0</v>
      </c>
      <c r="E49" s="102">
        <f>VLOOKUP(15,$A$4:$AX$32,5,FALSE)</f>
        <v>0</v>
      </c>
      <c r="F49" s="102">
        <f>VLOOKUP(15,$A$4:$AX$32,6,FALSE)</f>
        <v>0</v>
      </c>
      <c r="G49" s="102">
        <f>VLOOKUP(15,$A$4:$AX$32,7,FALSE)</f>
        <v>0</v>
      </c>
      <c r="H49" s="102">
        <f>VLOOKUP(15,$A$4:$AX$32,8,FALSE)</f>
        <v>0</v>
      </c>
      <c r="I49" s="102">
        <f>VLOOKUP(15,$A$4:$AX$32,9,FALSE)</f>
        <v>0</v>
      </c>
      <c r="J49" s="102">
        <f>VLOOKUP(15,$A$4:$AX$32,10,FALSE)</f>
        <v>0</v>
      </c>
      <c r="K49" s="102">
        <f>VLOOKUP(15,$A$4:$AX$32,11,FALSE)</f>
        <v>0</v>
      </c>
      <c r="L49" s="102">
        <f>VLOOKUP(15,$A$4:$AX$32,12,FALSE)</f>
        <v>0</v>
      </c>
      <c r="M49" s="102">
        <f>VLOOKUP(15,$A$4:$AX$32,13,FALSE)</f>
        <v>0</v>
      </c>
      <c r="N49" s="102">
        <f>VLOOKUP(15,$A$4:$AX$32,14,FALSE)</f>
        <v>0</v>
      </c>
      <c r="O49" s="102">
        <f>VLOOKUP(15,$A$4:$AX$32,15,FALSE)</f>
        <v>0</v>
      </c>
      <c r="P49" s="102">
        <f>VLOOKUP(15,$A$4:$AX$32,16,FALSE)</f>
        <v>0</v>
      </c>
      <c r="Q49" s="102">
        <f>VLOOKUP(15,$A$4:$AX$32,17,FALSE)</f>
        <v>0</v>
      </c>
      <c r="R49" s="102">
        <f>VLOOKUP(15,$A$4:$AX$32,18,FALSE)</f>
        <v>0</v>
      </c>
      <c r="S49" s="102">
        <f>VLOOKUP(15,$A$4:$AX$32,19,FALSE)</f>
        <v>0</v>
      </c>
      <c r="T49" s="102">
        <f>VLOOKUP(15,$A$4:$AX$32,20,FALSE)</f>
        <v>0</v>
      </c>
      <c r="U49" s="102">
        <f>VLOOKUP(15,$A$4:$AX$32,21,FALSE)</f>
        <v>0</v>
      </c>
      <c r="V49" s="102">
        <f>VLOOKUP(15,$A$4:$AX$32,22,FALSE)</f>
        <v>44</v>
      </c>
      <c r="W49" s="102">
        <f>VLOOKUP(15,$A$4:$AX$32,23,FALSE)</f>
        <v>123</v>
      </c>
      <c r="X49" s="102">
        <f>VLOOKUP(15,$A$4:$AX$32,24,FALSE)</f>
        <v>149</v>
      </c>
      <c r="Y49" s="102">
        <f>VLOOKUP(15,$A$4:$AX$32,25,FALSE)</f>
        <v>231</v>
      </c>
      <c r="Z49" s="102">
        <f>VLOOKUP(15,$A$4:$AX$32,26,FALSE)</f>
        <v>312</v>
      </c>
      <c r="AA49" s="102">
        <f>VLOOKUP(15,$A$4:$AX$32,27,FALSE)</f>
        <v>321</v>
      </c>
      <c r="AB49" s="102">
        <f>VLOOKUP(15,$A$4:$AX$32,28,FALSE)</f>
        <v>351</v>
      </c>
      <c r="AC49" s="102">
        <f>VLOOKUP(15,$A$4:$AX$32,29,FALSE)</f>
        <v>422</v>
      </c>
      <c r="AD49" s="102">
        <f>VLOOKUP(15,$A$4:$AX$32,30,FALSE)</f>
        <v>475</v>
      </c>
      <c r="AE49" s="102">
        <f>VLOOKUP(15,$A$4:$AX$32,31,FALSE)</f>
        <v>506</v>
      </c>
      <c r="AF49" s="102">
        <f>VLOOKUP(15,$A$4:$AX$32,32,FALSE)</f>
        <v>492</v>
      </c>
      <c r="AG49" s="102">
        <f>VLOOKUP(15,$A$4:$AX$32,33,FALSE)</f>
        <v>587</v>
      </c>
    </row>
    <row r="50" spans="1:33" ht="12.75">
      <c r="A50">
        <v>16</v>
      </c>
      <c r="B50" s="77" t="s">
        <v>58</v>
      </c>
      <c r="C50" s="102">
        <f>VLOOKUP(16,$A$4:$AX$32,3,FALSE)</f>
        <v>225</v>
      </c>
      <c r="D50" s="102">
        <f>VLOOKUP(16,$A$4:$AX$32,4,FALSE)</f>
        <v>222</v>
      </c>
      <c r="E50" s="102">
        <f>VLOOKUP(16,$A$4:$AX$32,5,FALSE)</f>
        <v>225</v>
      </c>
      <c r="F50" s="102">
        <f>VLOOKUP(16,$A$4:$AX$32,6,FALSE)</f>
        <v>246</v>
      </c>
      <c r="G50" s="102">
        <f>VLOOKUP(16,$A$4:$AX$32,7,FALSE)</f>
        <v>264</v>
      </c>
      <c r="H50" s="102">
        <f>VLOOKUP(16,$A$4:$AX$32,8,FALSE)</f>
        <v>280</v>
      </c>
      <c r="I50" s="102">
        <f>VLOOKUP(16,$A$4:$AX$32,9,FALSE)</f>
        <v>304</v>
      </c>
      <c r="J50" s="102">
        <f>VLOOKUP(16,$A$4:$AX$32,10,FALSE)</f>
        <v>271</v>
      </c>
      <c r="K50" s="102">
        <f>VLOOKUP(16,$A$4:$AX$32,11,FALSE)</f>
        <v>392</v>
      </c>
      <c r="L50" s="102">
        <f>VLOOKUP(16,$A$4:$AX$32,12,FALSE)</f>
        <v>350</v>
      </c>
      <c r="M50" s="102">
        <f>VLOOKUP(16,$A$4:$AX$32,13,FALSE)</f>
        <v>395</v>
      </c>
      <c r="N50" s="102">
        <f>VLOOKUP(16,$A$4:$AX$32,14,FALSE)</f>
        <v>375</v>
      </c>
      <c r="O50" s="102">
        <f>VLOOKUP(16,$A$4:$AX$32,15,FALSE)</f>
        <v>356</v>
      </c>
      <c r="P50" s="102">
        <f>VLOOKUP(16,$A$4:$AX$32,16,FALSE)</f>
        <v>387</v>
      </c>
      <c r="Q50" s="102">
        <f>VLOOKUP(16,$A$4:$AX$32,17,FALSE)</f>
        <v>379</v>
      </c>
      <c r="R50" s="102">
        <f>VLOOKUP(16,$A$4:$AX$32,18,FALSE)</f>
        <v>415</v>
      </c>
      <c r="S50" s="102">
        <f>VLOOKUP(16,$A$4:$AX$32,19,FALSE)</f>
        <v>440</v>
      </c>
      <c r="T50" s="102">
        <f>VLOOKUP(16,$A$4:$AX$32,20,FALSE)</f>
        <v>451</v>
      </c>
      <c r="U50" s="102">
        <f>VLOOKUP(16,$A$4:$AX$32,21,FALSE)</f>
        <v>419</v>
      </c>
      <c r="V50" s="102">
        <f>VLOOKUP(16,$A$4:$AX$32,22,FALSE)</f>
        <v>458</v>
      </c>
      <c r="W50" s="102">
        <f>VLOOKUP(16,$A$4:$AX$32,23,FALSE)</f>
        <v>505</v>
      </c>
      <c r="X50" s="102">
        <f>VLOOKUP(16,$A$4:$AX$32,24,FALSE)</f>
        <v>451</v>
      </c>
      <c r="Y50" s="102">
        <f>VLOOKUP(16,$A$4:$AX$32,25,FALSE)</f>
        <v>520</v>
      </c>
      <c r="Z50" s="102">
        <f>VLOOKUP(16,$A$4:$AX$32,26,FALSE)</f>
        <v>521</v>
      </c>
      <c r="AA50" s="102">
        <f>VLOOKUP(16,$A$4:$AX$32,27,FALSE)</f>
        <v>501</v>
      </c>
      <c r="AB50" s="102">
        <f>VLOOKUP(16,$A$4:$AX$32,28,FALSE)</f>
        <v>519</v>
      </c>
      <c r="AC50" s="102">
        <f>VLOOKUP(16,$A$4:$AX$32,29,FALSE)</f>
        <v>493</v>
      </c>
      <c r="AD50" s="102">
        <f>VLOOKUP(16,$A$4:$AX$32,30,FALSE)</f>
        <v>512</v>
      </c>
      <c r="AE50" s="102">
        <f>VLOOKUP(16,$A$4:$AX$32,31,FALSE)</f>
        <v>506</v>
      </c>
      <c r="AF50" s="102">
        <f>VLOOKUP(16,$A$4:$AX$32,32,FALSE)</f>
        <v>470</v>
      </c>
      <c r="AG50" s="102">
        <f>VLOOKUP(16,$A$4:$AX$32,33,FALSE)</f>
        <v>530</v>
      </c>
    </row>
    <row r="51" spans="1:33" ht="12.75">
      <c r="A51">
        <v>17</v>
      </c>
      <c r="B51" s="77" t="s">
        <v>59</v>
      </c>
      <c r="C51" s="102">
        <f>VLOOKUP(17,$A$4:$AX$32,3,FALSE)</f>
        <v>20</v>
      </c>
      <c r="D51" s="102">
        <f>VLOOKUP(17,$A$4:$AX$32,4,FALSE)</f>
        <v>22</v>
      </c>
      <c r="E51" s="102">
        <f>VLOOKUP(17,$A$4:$AX$32,5,FALSE)</f>
        <v>17</v>
      </c>
      <c r="F51" s="102">
        <f>VLOOKUP(17,$A$4:$AX$32,6,FALSE)</f>
        <v>33</v>
      </c>
      <c r="G51" s="102">
        <f>VLOOKUP(17,$A$4:$AX$32,7,FALSE)</f>
        <v>32</v>
      </c>
      <c r="H51" s="102">
        <f>VLOOKUP(17,$A$4:$AX$32,8,FALSE)</f>
        <v>35</v>
      </c>
      <c r="I51" s="102">
        <f>VLOOKUP(17,$A$4:$AX$32,9,FALSE)</f>
        <v>43</v>
      </c>
      <c r="J51" s="102">
        <f>VLOOKUP(17,$A$4:$AX$32,10,FALSE)</f>
        <v>30</v>
      </c>
      <c r="K51" s="102">
        <f>VLOOKUP(17,$A$4:$AX$32,11,FALSE)</f>
        <v>42</v>
      </c>
      <c r="L51" s="102">
        <f>VLOOKUP(17,$A$4:$AX$32,12,FALSE)</f>
        <v>31</v>
      </c>
      <c r="M51" s="102">
        <f>VLOOKUP(17,$A$4:$AX$32,13,FALSE)</f>
        <v>39</v>
      </c>
      <c r="N51" s="102">
        <f>VLOOKUP(17,$A$4:$AX$32,14,FALSE)</f>
        <v>34</v>
      </c>
      <c r="O51" s="102">
        <f>VLOOKUP(17,$A$4:$AX$32,15,FALSE)</f>
        <v>39</v>
      </c>
      <c r="P51" s="102">
        <f>VLOOKUP(17,$A$4:$AX$32,16,FALSE)</f>
        <v>53</v>
      </c>
      <c r="Q51" s="102">
        <f>VLOOKUP(17,$A$4:$AX$32,17,FALSE)</f>
        <v>48</v>
      </c>
      <c r="R51" s="102">
        <f>VLOOKUP(17,$A$4:$AX$32,18,FALSE)</f>
        <v>52</v>
      </c>
      <c r="S51" s="102">
        <f>VLOOKUP(17,$A$4:$AX$32,19,FALSE)</f>
        <v>54</v>
      </c>
      <c r="T51" s="102">
        <f>VLOOKUP(17,$A$4:$AX$32,20,FALSE)</f>
        <v>51</v>
      </c>
      <c r="U51" s="102">
        <f>VLOOKUP(17,$A$4:$AX$32,21,FALSE)</f>
        <v>60</v>
      </c>
      <c r="V51" s="102">
        <f>VLOOKUP(17,$A$4:$AX$32,22,FALSE)</f>
        <v>45</v>
      </c>
      <c r="W51" s="102">
        <f>VLOOKUP(17,$A$4:$AX$32,23,FALSE)</f>
        <v>68</v>
      </c>
      <c r="X51" s="102">
        <f>VLOOKUP(17,$A$4:$AX$32,24,FALSE)</f>
        <v>57</v>
      </c>
      <c r="Y51" s="102">
        <f>VLOOKUP(17,$A$4:$AX$32,25,FALSE)</f>
        <v>68</v>
      </c>
      <c r="Z51" s="102">
        <f>VLOOKUP(17,$A$4:$AX$32,26,FALSE)</f>
        <v>63</v>
      </c>
      <c r="AA51" s="102">
        <f>VLOOKUP(17,$A$4:$AX$32,27,FALSE)</f>
        <v>59</v>
      </c>
      <c r="AB51" s="102">
        <f>VLOOKUP(17,$A$4:$AX$32,28,FALSE)</f>
        <v>60</v>
      </c>
      <c r="AC51" s="102">
        <f>VLOOKUP(17,$A$4:$AX$32,29,FALSE)</f>
        <v>66</v>
      </c>
      <c r="AD51" s="102">
        <f>VLOOKUP(17,$A$4:$AX$32,30,FALSE)</f>
        <v>68</v>
      </c>
      <c r="AE51" s="102">
        <f>VLOOKUP(17,$A$4:$AX$32,31,FALSE)</f>
        <v>73</v>
      </c>
      <c r="AF51" s="102">
        <f>VLOOKUP(17,$A$4:$AX$32,32,FALSE)</f>
        <v>64</v>
      </c>
      <c r="AG51" s="102">
        <f>VLOOKUP(17,$A$4:$AX$32,33,FALSE)</f>
        <v>84</v>
      </c>
    </row>
    <row r="52" spans="1:33" ht="12.75">
      <c r="A52">
        <v>18</v>
      </c>
      <c r="B52" s="77" t="s">
        <v>60</v>
      </c>
      <c r="C52" s="102">
        <f>VLOOKUP(18,$A$4:$AX$32,3,FALSE)</f>
        <v>0</v>
      </c>
      <c r="D52" s="102">
        <f>VLOOKUP(18,$A$4:$AX$32,4,FALSE)</f>
        <v>0</v>
      </c>
      <c r="E52" s="102">
        <f>VLOOKUP(18,$A$4:$AX$32,5,FALSE)</f>
        <v>0</v>
      </c>
      <c r="F52" s="102">
        <f>VLOOKUP(18,$A$4:$AX$32,6,FALSE)</f>
        <v>0</v>
      </c>
      <c r="G52" s="102">
        <f>VLOOKUP(18,$A$4:$AX$32,7,FALSE)</f>
        <v>0</v>
      </c>
      <c r="H52" s="102">
        <f>VLOOKUP(18,$A$4:$AX$32,8,FALSE)</f>
        <v>0</v>
      </c>
      <c r="I52" s="102">
        <f>VLOOKUP(18,$A$4:$AX$32,9,FALSE)</f>
        <v>6</v>
      </c>
      <c r="J52" s="102">
        <f>VLOOKUP(18,$A$4:$AX$32,10,FALSE)</f>
        <v>43</v>
      </c>
      <c r="K52" s="102">
        <f>VLOOKUP(18,$A$4:$AX$32,11,FALSE)</f>
        <v>133</v>
      </c>
      <c r="L52" s="102">
        <f>VLOOKUP(18,$A$4:$AX$32,12,FALSE)</f>
        <v>172</v>
      </c>
      <c r="M52" s="102">
        <f>VLOOKUP(18,$A$4:$AX$32,13,FALSE)</f>
        <v>214</v>
      </c>
      <c r="N52" s="102">
        <f>VLOOKUP(18,$A$4:$AX$32,14,FALSE)</f>
        <v>251</v>
      </c>
      <c r="O52" s="102">
        <f>VLOOKUP(18,$A$4:$AX$32,15,FALSE)</f>
        <v>302</v>
      </c>
      <c r="P52" s="102">
        <f>VLOOKUP(18,$A$4:$AX$32,16,FALSE)</f>
        <v>293</v>
      </c>
      <c r="Q52" s="102">
        <f>VLOOKUP(18,$A$4:$AX$32,17,FALSE)</f>
        <v>307</v>
      </c>
      <c r="R52" s="102">
        <f>VLOOKUP(18,$A$4:$AX$32,18,FALSE)</f>
        <v>308</v>
      </c>
      <c r="S52" s="102">
        <f>VLOOKUP(18,$A$4:$AX$32,19,FALSE)</f>
        <v>342</v>
      </c>
      <c r="T52" s="102">
        <f>VLOOKUP(18,$A$4:$AX$32,20,FALSE)</f>
        <v>368</v>
      </c>
      <c r="U52" s="102">
        <f>VLOOKUP(18,$A$4:$AX$32,21,FALSE)</f>
        <v>374</v>
      </c>
      <c r="V52" s="102">
        <f>VLOOKUP(18,$A$4:$AX$32,22,FALSE)</f>
        <v>387</v>
      </c>
      <c r="W52" s="102">
        <f>VLOOKUP(18,$A$4:$AX$32,23,FALSE)</f>
        <v>407</v>
      </c>
      <c r="X52" s="102">
        <f>VLOOKUP(18,$A$4:$AX$32,24,FALSE)</f>
        <v>390</v>
      </c>
      <c r="Y52" s="102">
        <f>VLOOKUP(18,$A$4:$AX$32,25,FALSE)</f>
        <v>420</v>
      </c>
      <c r="Z52" s="102">
        <f>VLOOKUP(18,$A$4:$AX$32,26,FALSE)</f>
        <v>410</v>
      </c>
      <c r="AA52" s="102">
        <f>VLOOKUP(18,$A$4:$AX$32,27,FALSE)</f>
        <v>403</v>
      </c>
      <c r="AB52" s="102">
        <f>VLOOKUP(18,$A$4:$AX$32,28,FALSE)</f>
        <v>416</v>
      </c>
      <c r="AC52" s="102">
        <f>VLOOKUP(18,$A$4:$AX$32,29,FALSE)</f>
        <v>368</v>
      </c>
      <c r="AD52" s="102">
        <f>VLOOKUP(18,$A$4:$AX$32,30,FALSE)</f>
        <v>437</v>
      </c>
      <c r="AE52" s="102">
        <f>VLOOKUP(18,$A$4:$AX$32,31,FALSE)</f>
        <v>450</v>
      </c>
      <c r="AF52" s="102">
        <f>VLOOKUP(18,$A$4:$AX$32,32,FALSE)</f>
        <v>405</v>
      </c>
      <c r="AG52" s="102">
        <f>VLOOKUP(18,$A$4:$AX$32,33,FALSE)</f>
        <v>463</v>
      </c>
    </row>
    <row r="53" spans="1:33" ht="12.75">
      <c r="A53">
        <v>19</v>
      </c>
      <c r="B53" s="77" t="s">
        <v>61</v>
      </c>
      <c r="C53" s="102">
        <f>VLOOKUP(19,$A$4:$AX$32,3,FALSE)</f>
        <v>0</v>
      </c>
      <c r="D53" s="102">
        <f>VLOOKUP(19,$A$4:$AX$32,4,FALSE)</f>
        <v>0</v>
      </c>
      <c r="E53" s="102">
        <f>VLOOKUP(19,$A$4:$AX$32,5,FALSE)</f>
        <v>0</v>
      </c>
      <c r="F53" s="102">
        <f>VLOOKUP(19,$A$4:$AX$32,6,FALSE)</f>
        <v>0</v>
      </c>
      <c r="G53" s="102">
        <f>VLOOKUP(19,$A$4:$AX$32,7,FALSE)</f>
        <v>0</v>
      </c>
      <c r="H53" s="102">
        <f>VLOOKUP(19,$A$4:$AX$32,8,FALSE)</f>
        <v>0</v>
      </c>
      <c r="I53" s="102">
        <f>VLOOKUP(19,$A$4:$AX$32,9,FALSE)</f>
        <v>0</v>
      </c>
      <c r="J53" s="102">
        <f>VLOOKUP(19,$A$4:$AX$32,10,FALSE)</f>
        <v>0</v>
      </c>
      <c r="K53" s="102">
        <f>VLOOKUP(19,$A$4:$AX$32,11,FALSE)</f>
        <v>0</v>
      </c>
      <c r="L53" s="102">
        <f>VLOOKUP(19,$A$4:$AX$32,12,FALSE)</f>
        <v>0</v>
      </c>
      <c r="M53" s="102">
        <f>VLOOKUP(19,$A$4:$AX$32,13,FALSE)</f>
        <v>0</v>
      </c>
      <c r="N53" s="102">
        <f>VLOOKUP(19,$A$4:$AX$32,14,FALSE)</f>
        <v>0</v>
      </c>
      <c r="O53" s="102">
        <f>VLOOKUP(19,$A$4:$AX$32,15,FALSE)</f>
        <v>0</v>
      </c>
      <c r="P53" s="102">
        <f>VLOOKUP(19,$A$4:$AX$32,16,FALSE)</f>
        <v>0</v>
      </c>
      <c r="Q53" s="102">
        <f>VLOOKUP(19,$A$4:$AX$32,17,FALSE)</f>
        <v>0</v>
      </c>
      <c r="R53" s="102">
        <f>VLOOKUP(19,$A$4:$AX$32,18,FALSE)</f>
        <v>0</v>
      </c>
      <c r="S53" s="102">
        <f>VLOOKUP(19,$A$4:$AX$32,19,FALSE)</f>
        <v>0</v>
      </c>
      <c r="T53" s="102">
        <f>VLOOKUP(19,$A$4:$AX$32,20,FALSE)</f>
        <v>0</v>
      </c>
      <c r="U53" s="102">
        <f>VLOOKUP(19,$A$4:$AX$32,21,FALSE)</f>
        <v>4</v>
      </c>
      <c r="V53" s="102">
        <f>VLOOKUP(19,$A$4:$AX$32,22,FALSE)</f>
        <v>11</v>
      </c>
      <c r="W53" s="102">
        <f>VLOOKUP(19,$A$4:$AX$32,23,FALSE)</f>
        <v>24</v>
      </c>
      <c r="X53" s="102">
        <f>VLOOKUP(19,$A$4:$AX$32,24,FALSE)</f>
        <v>34</v>
      </c>
      <c r="Y53" s="102">
        <f>VLOOKUP(19,$A$4:$AX$32,25,FALSE)</f>
        <v>52</v>
      </c>
      <c r="Z53" s="102">
        <f>VLOOKUP(19,$A$4:$AX$32,26,FALSE)</f>
        <v>56</v>
      </c>
      <c r="AA53" s="102">
        <f>VLOOKUP(19,$A$4:$AX$32,27,FALSE)</f>
        <v>73</v>
      </c>
      <c r="AB53" s="102">
        <f>VLOOKUP(19,$A$4:$AX$32,28,FALSE)</f>
        <v>66</v>
      </c>
      <c r="AC53" s="102">
        <f>VLOOKUP(19,$A$4:$AX$32,29,FALSE)</f>
        <v>84</v>
      </c>
      <c r="AD53" s="102">
        <f>VLOOKUP(19,$A$4:$AX$32,30,FALSE)</f>
        <v>104</v>
      </c>
      <c r="AE53" s="102">
        <f>VLOOKUP(19,$A$4:$AX$32,31,FALSE)</f>
        <v>106</v>
      </c>
      <c r="AF53" s="102">
        <f>VLOOKUP(19,$A$4:$AX$32,32,FALSE)</f>
        <v>116</v>
      </c>
      <c r="AG53" s="102">
        <f>VLOOKUP(19,$A$4:$AX$32,33,FALSE)</f>
        <v>133</v>
      </c>
    </row>
    <row r="54" spans="1:33" ht="12.75">
      <c r="A54">
        <v>20</v>
      </c>
      <c r="B54" s="77" t="s">
        <v>62</v>
      </c>
      <c r="C54" s="102">
        <f>VLOOKUP(20,$A$4:$AX$32,3,FALSE)</f>
        <v>0</v>
      </c>
      <c r="D54" s="102">
        <f>VLOOKUP(20,$A$4:$AX$32,4,FALSE)</f>
        <v>0</v>
      </c>
      <c r="E54" s="102">
        <f>VLOOKUP(20,$A$4:$AX$32,5,FALSE)</f>
        <v>0</v>
      </c>
      <c r="F54" s="102">
        <f>VLOOKUP(20,$A$4:$AX$32,6,FALSE)</f>
        <v>0</v>
      </c>
      <c r="G54" s="102">
        <f>VLOOKUP(20,$A$4:$AX$32,7,FALSE)</f>
        <v>0</v>
      </c>
      <c r="H54" s="102">
        <f>VLOOKUP(20,$A$4:$AX$32,8,FALSE)</f>
        <v>0</v>
      </c>
      <c r="I54" s="102">
        <f>VLOOKUP(20,$A$4:$AX$32,9,FALSE)</f>
        <v>0</v>
      </c>
      <c r="J54" s="102">
        <f>VLOOKUP(20,$A$4:$AX$32,10,FALSE)</f>
        <v>0</v>
      </c>
      <c r="K54" s="102">
        <f>VLOOKUP(20,$A$4:$AX$32,11,FALSE)</f>
        <v>0</v>
      </c>
      <c r="L54" s="102">
        <f>VLOOKUP(20,$A$4:$AX$32,12,FALSE)</f>
        <v>0</v>
      </c>
      <c r="M54" s="102">
        <f>VLOOKUP(20,$A$4:$AX$32,13,FALSE)</f>
        <v>0</v>
      </c>
      <c r="N54" s="102">
        <f>VLOOKUP(20,$A$4:$AX$32,14,FALSE)</f>
        <v>0</v>
      </c>
      <c r="O54" s="102">
        <f>VLOOKUP(20,$A$4:$AX$32,15,FALSE)</f>
        <v>0</v>
      </c>
      <c r="P54" s="102">
        <f>VLOOKUP(20,$A$4:$AX$32,16,FALSE)</f>
        <v>0</v>
      </c>
      <c r="Q54" s="102">
        <f>VLOOKUP(20,$A$4:$AX$32,17,FALSE)</f>
        <v>0</v>
      </c>
      <c r="R54" s="102">
        <f>VLOOKUP(20,$A$4:$AX$32,18,FALSE)</f>
        <v>0</v>
      </c>
      <c r="S54" s="102">
        <f>VLOOKUP(20,$A$4:$AX$32,19,FALSE)</f>
        <v>0</v>
      </c>
      <c r="T54" s="102">
        <f>VLOOKUP(20,$A$4:$AX$32,20,FALSE)</f>
        <v>0</v>
      </c>
      <c r="U54" s="102">
        <f>VLOOKUP(20,$A$4:$AX$32,21,FALSE)</f>
        <v>2</v>
      </c>
      <c r="V54" s="102">
        <f>VLOOKUP(20,$A$4:$AX$32,22,FALSE)</f>
        <v>8</v>
      </c>
      <c r="W54" s="102">
        <f>VLOOKUP(20,$A$4:$AX$32,23,FALSE)</f>
        <v>16</v>
      </c>
      <c r="X54" s="102">
        <f>VLOOKUP(20,$A$4:$AX$32,24,FALSE)</f>
        <v>20</v>
      </c>
      <c r="Y54" s="102">
        <f>VLOOKUP(20,$A$4:$AX$32,25,FALSE)</f>
        <v>36</v>
      </c>
      <c r="Z54" s="102">
        <f>VLOOKUP(20,$A$4:$AX$32,26,FALSE)</f>
        <v>41</v>
      </c>
      <c r="AA54" s="102">
        <f>VLOOKUP(20,$A$4:$AX$32,27,FALSE)</f>
        <v>47</v>
      </c>
      <c r="AB54" s="102">
        <f>VLOOKUP(20,$A$4:$AX$32,28,FALSE)</f>
        <v>57</v>
      </c>
      <c r="AC54" s="102">
        <f>VLOOKUP(20,$A$4:$AX$32,29,FALSE)</f>
        <v>51</v>
      </c>
      <c r="AD54" s="102">
        <f>VLOOKUP(20,$A$4:$AX$32,30,FALSE)</f>
        <v>77</v>
      </c>
      <c r="AE54" s="102">
        <f>VLOOKUP(20,$A$4:$AX$32,31,FALSE)</f>
        <v>67</v>
      </c>
      <c r="AF54" s="102">
        <f>VLOOKUP(20,$A$4:$AX$32,32,FALSE)</f>
        <v>61</v>
      </c>
      <c r="AG54" s="102">
        <f>VLOOKUP(20,$A$4:$AX$32,33,FALSE)</f>
        <v>77</v>
      </c>
    </row>
    <row r="55" spans="1:33" ht="12.75">
      <c r="A55">
        <v>21</v>
      </c>
      <c r="B55" s="77" t="s">
        <v>63</v>
      </c>
      <c r="C55" s="102">
        <f>VLOOKUP(21,$A$4:$AX$32,3,FALSE)</f>
        <v>22</v>
      </c>
      <c r="D55" s="102">
        <f>VLOOKUP(21,$A$4:$AX$32,4,FALSE)</f>
        <v>31</v>
      </c>
      <c r="E55" s="102">
        <f>VLOOKUP(21,$A$4:$AX$32,5,FALSE)</f>
        <v>25</v>
      </c>
      <c r="F55" s="102">
        <f>VLOOKUP(21,$A$4:$AX$32,6,FALSE)</f>
        <v>18</v>
      </c>
      <c r="G55" s="102">
        <f>VLOOKUP(21,$A$4:$AX$32,7,FALSE)</f>
        <v>19</v>
      </c>
      <c r="H55" s="102">
        <f>VLOOKUP(21,$A$4:$AX$32,8,FALSE)</f>
        <v>22</v>
      </c>
      <c r="I55" s="102">
        <f>VLOOKUP(21,$A$4:$AX$32,9,FALSE)</f>
        <v>16</v>
      </c>
      <c r="J55" s="102">
        <f>VLOOKUP(21,$A$4:$AX$32,10,FALSE)</f>
        <v>17</v>
      </c>
      <c r="K55" s="102">
        <f>VLOOKUP(21,$A$4:$AX$32,11,FALSE)</f>
        <v>19</v>
      </c>
      <c r="L55" s="102">
        <f>VLOOKUP(21,$A$4:$AX$32,12,FALSE)</f>
        <v>17</v>
      </c>
      <c r="M55" s="102">
        <f>VLOOKUP(21,$A$4:$AX$32,13,FALSE)</f>
        <v>21</v>
      </c>
      <c r="N55" s="102">
        <f>VLOOKUP(21,$A$4:$AX$32,14,FALSE)</f>
        <v>22</v>
      </c>
      <c r="O55" s="102">
        <f>VLOOKUP(21,$A$4:$AX$32,15,FALSE)</f>
        <v>24</v>
      </c>
      <c r="P55" s="102">
        <f>VLOOKUP(21,$A$4:$AX$32,16,FALSE)</f>
        <v>27</v>
      </c>
      <c r="Q55" s="102">
        <f>VLOOKUP(21,$A$4:$AX$32,17,FALSE)</f>
        <v>28</v>
      </c>
      <c r="R55" s="102">
        <f>VLOOKUP(21,$A$4:$AX$32,18,FALSE)</f>
        <v>25</v>
      </c>
      <c r="S55" s="102">
        <f>VLOOKUP(21,$A$4:$AX$32,19,FALSE)</f>
        <v>25</v>
      </c>
      <c r="T55" s="102">
        <f>VLOOKUP(21,$A$4:$AX$32,20,FALSE)</f>
        <v>26</v>
      </c>
      <c r="U55" s="102">
        <f>VLOOKUP(21,$A$4:$AX$32,21,FALSE)</f>
        <v>18</v>
      </c>
      <c r="V55" s="102">
        <f>VLOOKUP(21,$A$4:$AX$32,22,FALSE)</f>
        <v>16</v>
      </c>
      <c r="W55" s="102">
        <f>VLOOKUP(21,$A$4:$AX$32,23,FALSE)</f>
        <v>17</v>
      </c>
      <c r="X55" s="102">
        <f>VLOOKUP(21,$A$4:$AX$32,24,FALSE)</f>
        <v>18</v>
      </c>
      <c r="Y55" s="102">
        <f>VLOOKUP(21,$A$4:$AX$32,25,FALSE)</f>
        <v>23</v>
      </c>
      <c r="Z55" s="102">
        <f>VLOOKUP(21,$A$4:$AX$32,26,FALSE)</f>
        <v>20</v>
      </c>
      <c r="AA55" s="102">
        <f>VLOOKUP(21,$A$4:$AX$32,27,FALSE)</f>
        <v>23</v>
      </c>
      <c r="AB55" s="102">
        <f>VLOOKUP(21,$A$4:$AX$32,28,FALSE)</f>
        <v>14</v>
      </c>
      <c r="AC55" s="102">
        <f>VLOOKUP(21,$A$4:$AX$32,29,FALSE)</f>
        <v>13</v>
      </c>
      <c r="AD55" s="102">
        <f>VLOOKUP(21,$A$4:$AX$32,30,FALSE)</f>
        <v>15</v>
      </c>
      <c r="AE55" s="102">
        <f>VLOOKUP(21,$A$4:$AX$32,31,FALSE)</f>
        <v>19</v>
      </c>
      <c r="AF55" s="102">
        <f>VLOOKUP(21,$A$4:$AX$32,32,FALSE)</f>
        <v>12</v>
      </c>
      <c r="AG55" s="102">
        <f>VLOOKUP(21,$A$4:$AX$32,33,FALSE)</f>
        <v>17</v>
      </c>
    </row>
    <row r="56" spans="1:33" ht="25.5">
      <c r="A56">
        <v>22</v>
      </c>
      <c r="B56" s="77" t="s">
        <v>64</v>
      </c>
      <c r="C56" s="102">
        <f>VLOOKUP(22,$A$4:$AX$32,3,FALSE)</f>
        <v>101</v>
      </c>
      <c r="D56" s="102">
        <f>VLOOKUP(22,$A$4:$AX$32,4,FALSE)</f>
        <v>97</v>
      </c>
      <c r="E56" s="102">
        <f>VLOOKUP(22,$A$4:$AX$32,5,FALSE)</f>
        <v>99</v>
      </c>
      <c r="F56" s="102">
        <f>VLOOKUP(22,$A$4:$AX$32,6,FALSE)</f>
        <v>97</v>
      </c>
      <c r="G56" s="102">
        <f>VLOOKUP(22,$A$4:$AX$32,7,FALSE)</f>
        <v>100</v>
      </c>
      <c r="H56" s="102">
        <f>VLOOKUP(22,$A$4:$AX$32,8,FALSE)</f>
        <v>115</v>
      </c>
      <c r="I56" s="102">
        <f>VLOOKUP(22,$A$4:$AX$32,9,FALSE)</f>
        <v>101</v>
      </c>
      <c r="J56" s="102">
        <f>VLOOKUP(22,$A$4:$AX$32,10,FALSE)</f>
        <v>82</v>
      </c>
      <c r="K56" s="102">
        <f>VLOOKUP(22,$A$4:$AX$32,11,FALSE)</f>
        <v>118</v>
      </c>
      <c r="L56" s="102">
        <f>VLOOKUP(22,$A$4:$AX$32,12,FALSE)</f>
        <v>111</v>
      </c>
      <c r="M56" s="102">
        <f>VLOOKUP(22,$A$4:$AX$32,13,FALSE)</f>
        <v>110</v>
      </c>
      <c r="N56" s="102">
        <f>VLOOKUP(22,$A$4:$AX$32,14,FALSE)</f>
        <v>114</v>
      </c>
      <c r="O56" s="102">
        <f>VLOOKUP(22,$A$4:$AX$32,15,FALSE)</f>
        <v>127</v>
      </c>
      <c r="P56" s="102">
        <f>VLOOKUP(22,$A$4:$AX$32,16,FALSE)</f>
        <v>108</v>
      </c>
      <c r="Q56" s="102">
        <f>VLOOKUP(22,$A$4:$AX$32,17,FALSE)</f>
        <v>109</v>
      </c>
      <c r="R56" s="102">
        <f>VLOOKUP(22,$A$4:$AX$32,18,FALSE)</f>
        <v>120</v>
      </c>
      <c r="S56" s="102">
        <f>VLOOKUP(22,$A$4:$AX$32,19,FALSE)</f>
        <v>113</v>
      </c>
      <c r="T56" s="102">
        <f>VLOOKUP(22,$A$4:$AX$32,20,FALSE)</f>
        <v>97</v>
      </c>
      <c r="U56" s="102">
        <f>VLOOKUP(22,$A$4:$AX$32,21,FALSE)</f>
        <v>114</v>
      </c>
      <c r="V56" s="102">
        <f>VLOOKUP(22,$A$4:$AX$32,22,FALSE)</f>
        <v>93</v>
      </c>
      <c r="W56" s="102">
        <f>VLOOKUP(22,$A$4:$AX$32,23,FALSE)</f>
        <v>113</v>
      </c>
      <c r="X56" s="102">
        <f>VLOOKUP(22,$A$4:$AX$32,24,FALSE)</f>
        <v>88</v>
      </c>
      <c r="Y56" s="102">
        <f>VLOOKUP(22,$A$4:$AX$32,25,FALSE)</f>
        <v>99</v>
      </c>
      <c r="Z56" s="102">
        <f>VLOOKUP(22,$A$4:$AX$32,26,FALSE)</f>
        <v>96</v>
      </c>
      <c r="AA56" s="102">
        <f>VLOOKUP(22,$A$4:$AX$32,27,FALSE)</f>
        <v>100</v>
      </c>
      <c r="AB56" s="102">
        <f>VLOOKUP(22,$A$4:$AX$32,28,FALSE)</f>
        <v>96</v>
      </c>
      <c r="AC56" s="102">
        <f>VLOOKUP(22,$A$4:$AX$32,29,FALSE)</f>
        <v>98</v>
      </c>
      <c r="AD56" s="102">
        <f>VLOOKUP(22,$A$4:$AX$32,30,FALSE)</f>
        <v>96</v>
      </c>
      <c r="AE56" s="102">
        <f>VLOOKUP(22,$A$4:$AX$32,31,FALSE)</f>
        <v>84</v>
      </c>
      <c r="AF56" s="102">
        <f>VLOOKUP(22,$A$4:$AX$32,32,FALSE)</f>
        <v>78</v>
      </c>
      <c r="AG56" s="102">
        <f>VLOOKUP(22,$A$4:$AX$32,33,FALSE)</f>
        <v>102</v>
      </c>
    </row>
    <row r="57" spans="1:33" ht="25.5">
      <c r="A57">
        <v>23</v>
      </c>
      <c r="B57" s="77" t="s">
        <v>65</v>
      </c>
      <c r="C57" s="102">
        <f>VLOOKUP(23,$A$4:$AX$32,3,FALSE)</f>
        <v>32</v>
      </c>
      <c r="D57" s="102">
        <f>VLOOKUP(23,$A$4:$AX$32,4,FALSE)</f>
        <v>28</v>
      </c>
      <c r="E57" s="102">
        <f>VLOOKUP(23,$A$4:$AX$32,5,FALSE)</f>
        <v>36</v>
      </c>
      <c r="F57" s="102">
        <f>VLOOKUP(23,$A$4:$AX$32,6,FALSE)</f>
        <v>28</v>
      </c>
      <c r="G57" s="102">
        <f>VLOOKUP(23,$A$4:$AX$32,7,FALSE)</f>
        <v>35</v>
      </c>
      <c r="H57" s="102">
        <f>VLOOKUP(23,$A$4:$AX$32,8,FALSE)</f>
        <v>35</v>
      </c>
      <c r="I57" s="102">
        <f>VLOOKUP(23,$A$4:$AX$32,9,FALSE)</f>
        <v>32</v>
      </c>
      <c r="J57" s="102">
        <f>VLOOKUP(23,$A$4:$AX$32,10,FALSE)</f>
        <v>35</v>
      </c>
      <c r="K57" s="102">
        <f>VLOOKUP(23,$A$4:$AX$32,11,FALSE)</f>
        <v>37</v>
      </c>
      <c r="L57" s="102">
        <f>VLOOKUP(23,$A$4:$AX$32,12,FALSE)</f>
        <v>38</v>
      </c>
      <c r="M57" s="102">
        <f>VLOOKUP(23,$A$4:$AX$32,13,FALSE)</f>
        <v>41</v>
      </c>
      <c r="N57" s="102">
        <f>VLOOKUP(23,$A$4:$AX$32,14,FALSE)</f>
        <v>42</v>
      </c>
      <c r="O57" s="102">
        <f>VLOOKUP(23,$A$4:$AX$32,15,FALSE)</f>
        <v>34</v>
      </c>
      <c r="P57" s="102">
        <f>VLOOKUP(23,$A$4:$AX$32,16,FALSE)</f>
        <v>41</v>
      </c>
      <c r="Q57" s="102">
        <f>VLOOKUP(23,$A$4:$AX$32,17,FALSE)</f>
        <v>35</v>
      </c>
      <c r="R57" s="102">
        <f>VLOOKUP(23,$A$4:$AX$32,18,FALSE)</f>
        <v>34</v>
      </c>
      <c r="S57" s="102">
        <f>VLOOKUP(23,$A$4:$AX$32,19,FALSE)</f>
        <v>44</v>
      </c>
      <c r="T57" s="102">
        <f>VLOOKUP(23,$A$4:$AX$32,20,FALSE)</f>
        <v>33</v>
      </c>
      <c r="U57" s="102">
        <f>VLOOKUP(23,$A$4:$AX$32,21,FALSE)</f>
        <v>37</v>
      </c>
      <c r="V57" s="102">
        <f>VLOOKUP(23,$A$4:$AX$32,22,FALSE)</f>
        <v>36</v>
      </c>
      <c r="W57" s="102">
        <f>VLOOKUP(23,$A$4:$AX$32,23,FALSE)</f>
        <v>39</v>
      </c>
      <c r="X57" s="102">
        <f>VLOOKUP(23,$A$4:$AX$32,24,FALSE)</f>
        <v>30</v>
      </c>
      <c r="Y57" s="102">
        <f>VLOOKUP(23,$A$4:$AX$32,25,FALSE)</f>
        <v>35</v>
      </c>
      <c r="Z57" s="102">
        <f>VLOOKUP(23,$A$4:$AX$32,26,FALSE)</f>
        <v>33</v>
      </c>
      <c r="AA57" s="102">
        <f>VLOOKUP(23,$A$4:$AX$32,27,FALSE)</f>
        <v>32</v>
      </c>
      <c r="AB57" s="102">
        <f>VLOOKUP(23,$A$4:$AX$32,28,FALSE)</f>
        <v>39</v>
      </c>
      <c r="AC57" s="102">
        <f>VLOOKUP(23,$A$4:$AX$32,29,FALSE)</f>
        <v>34</v>
      </c>
      <c r="AD57" s="102">
        <f>VLOOKUP(23,$A$4:$AX$32,30,FALSE)</f>
        <v>36</v>
      </c>
      <c r="AE57" s="102">
        <f>VLOOKUP(23,$A$4:$AX$32,31,FALSE)</f>
        <v>32</v>
      </c>
      <c r="AF57" s="102">
        <f>VLOOKUP(23,$A$4:$AX$32,32,FALSE)</f>
        <v>30</v>
      </c>
      <c r="AG57" s="102">
        <f>VLOOKUP(23,$A$4:$AX$32,33,FALSE)</f>
        <v>34</v>
      </c>
    </row>
    <row r="58" spans="1:33" ht="25.5">
      <c r="A58">
        <v>24</v>
      </c>
      <c r="B58" s="77" t="s">
        <v>66</v>
      </c>
      <c r="C58" s="102">
        <f>VLOOKUP(24,$A$4:$AX$32,3,FALSE)</f>
        <v>17</v>
      </c>
      <c r="D58" s="102">
        <f>VLOOKUP(24,$A$4:$AX$32,4,FALSE)</f>
        <v>15</v>
      </c>
      <c r="E58" s="102">
        <f>VLOOKUP(24,$A$4:$AX$32,5,FALSE)</f>
        <v>16</v>
      </c>
      <c r="F58" s="102">
        <f>VLOOKUP(24,$A$4:$AX$32,6,FALSE)</f>
        <v>10</v>
      </c>
      <c r="G58" s="102">
        <f>VLOOKUP(24,$A$4:$AX$32,7,FALSE)</f>
        <v>14</v>
      </c>
      <c r="H58" s="102">
        <f>VLOOKUP(24,$A$4:$AX$32,8,FALSE)</f>
        <v>12</v>
      </c>
      <c r="I58" s="102">
        <f>VLOOKUP(24,$A$4:$AX$32,9,FALSE)</f>
        <v>10</v>
      </c>
      <c r="J58" s="102">
        <f>VLOOKUP(24,$A$4:$AX$32,10,FALSE)</f>
        <v>9</v>
      </c>
      <c r="K58" s="102">
        <f>VLOOKUP(24,$A$4:$AX$32,11,FALSE)</f>
        <v>19</v>
      </c>
      <c r="L58" s="102">
        <f>VLOOKUP(24,$A$4:$AX$32,12,FALSE)</f>
        <v>16</v>
      </c>
      <c r="M58" s="102">
        <f>VLOOKUP(24,$A$4:$AX$32,13,FALSE)</f>
        <v>16</v>
      </c>
      <c r="N58" s="102">
        <f>VLOOKUP(24,$A$4:$AX$32,14,FALSE)</f>
        <v>16</v>
      </c>
      <c r="O58" s="102">
        <f>VLOOKUP(24,$A$4:$AX$32,15,FALSE)</f>
        <v>18</v>
      </c>
      <c r="P58" s="102">
        <f>VLOOKUP(24,$A$4:$AX$32,16,FALSE)</f>
        <v>15</v>
      </c>
      <c r="Q58" s="102">
        <f>VLOOKUP(24,$A$4:$AX$32,17,FALSE)</f>
        <v>15</v>
      </c>
      <c r="R58" s="102">
        <f>VLOOKUP(24,$A$4:$AX$32,18,FALSE)</f>
        <v>13</v>
      </c>
      <c r="S58" s="102">
        <f>VLOOKUP(24,$A$4:$AX$32,19,FALSE)</f>
        <v>16</v>
      </c>
      <c r="T58" s="102">
        <f>VLOOKUP(24,$A$4:$AX$32,20,FALSE)</f>
        <v>13</v>
      </c>
      <c r="U58" s="102">
        <f>VLOOKUP(24,$A$4:$AX$32,21,FALSE)</f>
        <v>18</v>
      </c>
      <c r="V58" s="102">
        <f>VLOOKUP(24,$A$4:$AX$32,22,FALSE)</f>
        <v>10</v>
      </c>
      <c r="W58" s="102">
        <f>VLOOKUP(24,$A$4:$AX$32,23,FALSE)</f>
        <v>17</v>
      </c>
      <c r="X58" s="102">
        <f>VLOOKUP(24,$A$4:$AX$32,24,FALSE)</f>
        <v>9</v>
      </c>
      <c r="Y58" s="102">
        <f>VLOOKUP(24,$A$4:$AX$32,25,FALSE)</f>
        <v>12</v>
      </c>
      <c r="Z58" s="102">
        <f>VLOOKUP(24,$A$4:$AX$32,26,FALSE)</f>
        <v>13</v>
      </c>
      <c r="AA58" s="102">
        <f>VLOOKUP(24,$A$4:$AX$32,27,FALSE)</f>
        <v>10</v>
      </c>
      <c r="AB58" s="102">
        <f>VLOOKUP(24,$A$4:$AX$32,28,FALSE)</f>
        <v>9</v>
      </c>
      <c r="AC58" s="102">
        <f>VLOOKUP(24,$A$4:$AX$32,29,FALSE)</f>
        <v>7</v>
      </c>
      <c r="AD58" s="102">
        <f>VLOOKUP(24,$A$4:$AX$32,30,FALSE)</f>
        <v>8</v>
      </c>
      <c r="AE58" s="102">
        <f>VLOOKUP(24,$A$4:$AX$32,31,FALSE)</f>
        <v>8</v>
      </c>
      <c r="AF58" s="102">
        <f>VLOOKUP(24,$A$4:$AX$32,32,FALSE)</f>
        <v>6</v>
      </c>
      <c r="AG58" s="102">
        <f>VLOOKUP(24,$A$4:$AX$32,33,FALSE)</f>
        <v>13</v>
      </c>
    </row>
    <row r="59" spans="1:33" ht="25.5">
      <c r="A59">
        <v>25</v>
      </c>
      <c r="B59" s="77" t="s">
        <v>67</v>
      </c>
      <c r="C59" s="102">
        <f>VLOOKUP(25,$A$4:$AX$32,3,FALSE)</f>
        <v>0</v>
      </c>
      <c r="D59" s="102">
        <f>VLOOKUP(25,$A$4:$AX$32,4,FALSE)</f>
        <v>0</v>
      </c>
      <c r="E59" s="102">
        <f>VLOOKUP(25,$A$4:$AX$32,5,FALSE)</f>
        <v>0</v>
      </c>
      <c r="F59" s="102">
        <f>VLOOKUP(25,$A$4:$AX$32,6,FALSE)</f>
        <v>0</v>
      </c>
      <c r="G59" s="102">
        <f>VLOOKUP(25,$A$4:$AX$32,7,FALSE)</f>
        <v>0</v>
      </c>
      <c r="H59" s="102">
        <f>VLOOKUP(25,$A$4:$AX$32,8,FALSE)</f>
        <v>0</v>
      </c>
      <c r="I59" s="102">
        <f>VLOOKUP(25,$A$4:$AX$32,9,FALSE)</f>
        <v>0</v>
      </c>
      <c r="J59" s="102">
        <f>VLOOKUP(25,$A$4:$AX$32,10,FALSE)</f>
        <v>0</v>
      </c>
      <c r="K59" s="102">
        <f>VLOOKUP(25,$A$4:$AX$32,11,FALSE)</f>
        <v>0</v>
      </c>
      <c r="L59" s="102">
        <f>VLOOKUP(25,$A$4:$AX$32,12,FALSE)</f>
        <v>0</v>
      </c>
      <c r="M59" s="102">
        <f>VLOOKUP(25,$A$4:$AX$32,13,FALSE)</f>
        <v>0</v>
      </c>
      <c r="N59" s="102">
        <f>VLOOKUP(25,$A$4:$AX$32,14,FALSE)</f>
        <v>0</v>
      </c>
      <c r="O59" s="102">
        <f>VLOOKUP(25,$A$4:$AX$32,15,FALSE)</f>
        <v>0</v>
      </c>
      <c r="P59" s="102">
        <f>VLOOKUP(25,$A$4:$AX$32,16,FALSE)</f>
        <v>0</v>
      </c>
      <c r="Q59" s="102">
        <f>VLOOKUP(25,$A$4:$AX$32,17,FALSE)</f>
        <v>0</v>
      </c>
      <c r="R59" s="102">
        <f>VLOOKUP(25,$A$4:$AX$32,18,FALSE)</f>
        <v>0</v>
      </c>
      <c r="S59" s="102">
        <f>VLOOKUP(25,$A$4:$AX$32,19,FALSE)</f>
        <v>0</v>
      </c>
      <c r="T59" s="102">
        <f>VLOOKUP(25,$A$4:$AX$32,20,FALSE)</f>
        <v>0</v>
      </c>
      <c r="U59" s="102">
        <f>VLOOKUP(25,$A$4:$AX$32,21,FALSE)</f>
        <v>0</v>
      </c>
      <c r="V59" s="102">
        <f>VLOOKUP(25,$A$4:$AX$32,22,FALSE)</f>
        <v>0</v>
      </c>
      <c r="W59" s="102">
        <f>VLOOKUP(25,$A$4:$AX$32,23,FALSE)</f>
        <v>18</v>
      </c>
      <c r="X59" s="102">
        <f>VLOOKUP(25,$A$4:$AX$32,24,FALSE)</f>
        <v>85</v>
      </c>
      <c r="Y59" s="102">
        <f>VLOOKUP(25,$A$4:$AX$32,25,FALSE)</f>
        <v>143</v>
      </c>
      <c r="Z59" s="102">
        <f>VLOOKUP(25,$A$4:$AX$32,26,FALSE)</f>
        <v>211</v>
      </c>
      <c r="AA59" s="102">
        <f>VLOOKUP(25,$A$4:$AX$32,27,FALSE)</f>
        <v>265</v>
      </c>
      <c r="AB59" s="102">
        <f>VLOOKUP(25,$A$4:$AX$32,28,FALSE)</f>
        <v>312</v>
      </c>
      <c r="AC59" s="102">
        <f>VLOOKUP(25,$A$4:$AX$32,29,FALSE)</f>
        <v>262</v>
      </c>
      <c r="AD59" s="102">
        <f>VLOOKUP(25,$A$4:$AX$32,30,FALSE)</f>
        <v>344</v>
      </c>
      <c r="AE59" s="102">
        <f>VLOOKUP(25,$A$4:$AX$32,31,FALSE)</f>
        <v>374</v>
      </c>
      <c r="AF59" s="102">
        <f>VLOOKUP(25,$A$4:$AX$32,32,FALSE)</f>
        <v>316</v>
      </c>
      <c r="AG59" s="102">
        <f>VLOOKUP(25,$A$4:$AX$32,33,FALSE)</f>
        <v>412</v>
      </c>
    </row>
    <row r="60" spans="1:33" ht="25.5">
      <c r="A60">
        <v>26</v>
      </c>
      <c r="B60" s="77" t="s">
        <v>68</v>
      </c>
      <c r="C60" s="102">
        <f>VLOOKUP(26,$A$4:$AX$32,3,FALSE)</f>
        <v>998</v>
      </c>
      <c r="D60" s="102">
        <f>VLOOKUP(26,$A$4:$AX$32,4,FALSE)</f>
        <v>924</v>
      </c>
      <c r="E60" s="102">
        <f>VLOOKUP(26,$A$4:$AX$32,5,FALSE)</f>
        <v>997</v>
      </c>
      <c r="F60" s="102">
        <f>VLOOKUP(26,$A$4:$AX$32,6,FALSE)</f>
        <v>1004</v>
      </c>
      <c r="G60" s="102">
        <f>VLOOKUP(26,$A$4:$AX$32,7,FALSE)</f>
        <v>1059</v>
      </c>
      <c r="H60" s="102">
        <f>VLOOKUP(26,$A$4:$AX$32,8,FALSE)</f>
        <v>1038</v>
      </c>
      <c r="I60" s="102">
        <f>VLOOKUP(26,$A$4:$AX$32,9,FALSE)</f>
        <v>1046</v>
      </c>
      <c r="J60" s="102">
        <f>VLOOKUP(26,$A$4:$AX$32,10,FALSE)</f>
        <v>898</v>
      </c>
      <c r="K60" s="102">
        <f>VLOOKUP(26,$A$4:$AX$32,11,FALSE)</f>
        <v>1190</v>
      </c>
      <c r="L60" s="102">
        <f>VLOOKUP(26,$A$4:$AX$32,12,FALSE)</f>
        <v>1043</v>
      </c>
      <c r="M60" s="102">
        <f>VLOOKUP(26,$A$4:$AX$32,13,FALSE)</f>
        <v>1082</v>
      </c>
      <c r="N60" s="102">
        <f>VLOOKUP(26,$A$4:$AX$32,14,FALSE)</f>
        <v>1057</v>
      </c>
      <c r="O60" s="102">
        <f>VLOOKUP(26,$A$4:$AX$32,15,FALSE)</f>
        <v>1027</v>
      </c>
      <c r="P60" s="102">
        <f>VLOOKUP(26,$A$4:$AX$32,16,FALSE)</f>
        <v>1041</v>
      </c>
      <c r="Q60" s="102">
        <f>VLOOKUP(26,$A$4:$AX$32,17,FALSE)</f>
        <v>1012</v>
      </c>
      <c r="R60" s="102">
        <f>VLOOKUP(26,$A$4:$AX$32,18,FALSE)</f>
        <v>1023</v>
      </c>
      <c r="S60" s="102">
        <f>VLOOKUP(26,$A$4:$AX$32,19,FALSE)</f>
        <v>1065</v>
      </c>
      <c r="T60" s="102">
        <f>VLOOKUP(26,$A$4:$AX$32,20,FALSE)</f>
        <v>1051</v>
      </c>
      <c r="U60" s="102">
        <f>VLOOKUP(26,$A$4:$AX$32,21,FALSE)</f>
        <v>1028</v>
      </c>
      <c r="V60" s="102">
        <f>VLOOKUP(26,$A$4:$AX$32,22,FALSE)</f>
        <v>968</v>
      </c>
      <c r="W60" s="102">
        <f>VLOOKUP(26,$A$4:$AX$32,23,FALSE)</f>
        <v>1097</v>
      </c>
      <c r="X60" s="102">
        <f>VLOOKUP(26,$A$4:$AX$32,24,FALSE)</f>
        <v>928</v>
      </c>
      <c r="Y60" s="102">
        <f>VLOOKUP(26,$A$4:$AX$32,25,FALSE)</f>
        <v>998</v>
      </c>
      <c r="Z60" s="102">
        <f>VLOOKUP(26,$A$4:$AX$32,26,FALSE)</f>
        <v>954</v>
      </c>
      <c r="AA60" s="102">
        <f>VLOOKUP(26,$A$4:$AX$32,27,FALSE)</f>
        <v>798</v>
      </c>
      <c r="AB60" s="102">
        <f>VLOOKUP(26,$A$4:$AX$32,28,FALSE)</f>
        <v>800</v>
      </c>
      <c r="AC60" s="102">
        <f>VLOOKUP(26,$A$4:$AX$32,29,FALSE)</f>
        <v>755</v>
      </c>
      <c r="AD60" s="102">
        <f>VLOOKUP(26,$A$4:$AX$32,30,FALSE)</f>
        <v>774</v>
      </c>
      <c r="AE60" s="102">
        <f>VLOOKUP(26,$A$4:$AX$32,31,FALSE)</f>
        <v>699</v>
      </c>
      <c r="AF60" s="102">
        <f>VLOOKUP(26,$A$4:$AX$32,32,FALSE)</f>
        <v>658</v>
      </c>
      <c r="AG60" s="102">
        <f>VLOOKUP(26,$A$4:$AX$32,33,FALSE)</f>
        <v>716</v>
      </c>
    </row>
    <row r="61" spans="1:33" ht="25.5">
      <c r="A61">
        <v>27</v>
      </c>
      <c r="B61" s="77" t="s">
        <v>69</v>
      </c>
      <c r="C61" s="102">
        <f>VLOOKUP(27,$A$4:$AX$32,3,FALSE)</f>
        <v>705</v>
      </c>
      <c r="D61" s="102">
        <f>VLOOKUP(27,$A$4:$AX$32,4,FALSE)</f>
        <v>635</v>
      </c>
      <c r="E61" s="102">
        <f>VLOOKUP(27,$A$4:$AX$32,5,FALSE)</f>
        <v>675</v>
      </c>
      <c r="F61" s="102">
        <f>VLOOKUP(27,$A$4:$AX$32,6,FALSE)</f>
        <v>650</v>
      </c>
      <c r="G61" s="102">
        <f>VLOOKUP(27,$A$4:$AX$32,7,FALSE)</f>
        <v>704</v>
      </c>
      <c r="H61" s="102">
        <f>VLOOKUP(27,$A$4:$AX$32,8,FALSE)</f>
        <v>687</v>
      </c>
      <c r="I61" s="102">
        <f>VLOOKUP(27,$A$4:$AX$32,9,FALSE)</f>
        <v>654</v>
      </c>
      <c r="J61" s="102">
        <f>VLOOKUP(27,$A$4:$AX$32,10,FALSE)</f>
        <v>614</v>
      </c>
      <c r="K61" s="102">
        <f>VLOOKUP(27,$A$4:$AX$32,11,FALSE)</f>
        <v>816</v>
      </c>
      <c r="L61" s="102">
        <f>VLOOKUP(27,$A$4:$AX$32,12,FALSE)</f>
        <v>664</v>
      </c>
      <c r="M61" s="102">
        <f>VLOOKUP(27,$A$4:$AX$32,13,FALSE)</f>
        <v>739</v>
      </c>
      <c r="N61" s="102">
        <f>VLOOKUP(27,$A$4:$AX$32,14,FALSE)</f>
        <v>667</v>
      </c>
      <c r="O61" s="102">
        <f>VLOOKUP(27,$A$4:$AX$32,15,FALSE)</f>
        <v>685</v>
      </c>
      <c r="P61" s="102">
        <f>VLOOKUP(27,$A$4:$AX$32,16,FALSE)</f>
        <v>655</v>
      </c>
      <c r="Q61" s="102">
        <f>VLOOKUP(27,$A$4:$AX$32,17,FALSE)</f>
        <v>691</v>
      </c>
      <c r="R61" s="102">
        <f>VLOOKUP(27,$A$4:$AX$32,18,FALSE)</f>
        <v>683</v>
      </c>
      <c r="S61" s="102">
        <f>VLOOKUP(27,$A$4:$AX$32,19,FALSE)</f>
        <v>670</v>
      </c>
      <c r="T61" s="102">
        <f>VLOOKUP(27,$A$4:$AX$32,20,FALSE)</f>
        <v>698</v>
      </c>
      <c r="U61" s="102">
        <f>VLOOKUP(27,$A$4:$AX$32,21,FALSE)</f>
        <v>674</v>
      </c>
      <c r="V61" s="102">
        <f>VLOOKUP(27,$A$4:$AX$32,22,FALSE)</f>
        <v>639</v>
      </c>
      <c r="W61" s="102">
        <f>VLOOKUP(27,$A$4:$AX$32,23,FALSE)</f>
        <v>730</v>
      </c>
      <c r="X61" s="102">
        <f>VLOOKUP(27,$A$4:$AX$32,24,FALSE)</f>
        <v>612</v>
      </c>
      <c r="Y61" s="102">
        <f>VLOOKUP(27,$A$4:$AX$32,25,FALSE)</f>
        <v>706</v>
      </c>
      <c r="Z61" s="102">
        <f>VLOOKUP(27,$A$4:$AX$32,26,FALSE)</f>
        <v>687</v>
      </c>
      <c r="AA61" s="102">
        <f>VLOOKUP(27,$A$4:$AX$32,27,FALSE)</f>
        <v>590</v>
      </c>
      <c r="AB61" s="102">
        <f>VLOOKUP(27,$A$4:$AX$32,28,FALSE)</f>
        <v>622</v>
      </c>
      <c r="AC61" s="102">
        <f>VLOOKUP(27,$A$4:$AX$32,29,FALSE)</f>
        <v>598</v>
      </c>
      <c r="AD61" s="102">
        <f>VLOOKUP(27,$A$4:$AX$32,30,FALSE)</f>
        <v>607</v>
      </c>
      <c r="AE61" s="102">
        <f>VLOOKUP(27,$A$4:$AX$32,31,FALSE)</f>
        <v>608</v>
      </c>
      <c r="AF61" s="102">
        <f>VLOOKUP(27,$A$4:$AX$32,32,FALSE)</f>
        <v>577</v>
      </c>
      <c r="AG61" s="102">
        <f>VLOOKUP(27,$A$4:$AX$32,33,FALSE)</f>
        <v>651</v>
      </c>
    </row>
    <row r="62" spans="1:33" ht="25.5">
      <c r="A62">
        <v>28</v>
      </c>
      <c r="B62" s="77" t="s">
        <v>70</v>
      </c>
      <c r="C62" s="102">
        <f>VLOOKUP(28,$A$4:$AX$32,3,FALSE)</f>
        <v>210</v>
      </c>
      <c r="D62" s="102">
        <f>VLOOKUP(28,$A$4:$AX$32,4,FALSE)</f>
        <v>184</v>
      </c>
      <c r="E62" s="102">
        <f>VLOOKUP(28,$A$4:$AX$32,5,FALSE)</f>
        <v>199</v>
      </c>
      <c r="F62" s="102">
        <f>VLOOKUP(28,$A$4:$AX$32,6,FALSE)</f>
        <v>182</v>
      </c>
      <c r="G62" s="102">
        <f>VLOOKUP(28,$A$4:$AX$32,7,FALSE)</f>
        <v>211</v>
      </c>
      <c r="H62" s="102">
        <f>VLOOKUP(28,$A$4:$AX$32,8,FALSE)</f>
        <v>202</v>
      </c>
      <c r="I62" s="102">
        <f>VLOOKUP(28,$A$4:$AX$32,9,FALSE)</f>
        <v>208</v>
      </c>
      <c r="J62" s="102">
        <f>VLOOKUP(28,$A$4:$AX$32,10,FALSE)</f>
        <v>177</v>
      </c>
      <c r="K62" s="102">
        <f>VLOOKUP(28,$A$4:$AX$32,11,FALSE)</f>
        <v>234</v>
      </c>
      <c r="L62" s="102">
        <f>VLOOKUP(28,$A$4:$AX$32,12,FALSE)</f>
        <v>189</v>
      </c>
      <c r="M62" s="102">
        <f>VLOOKUP(28,$A$4:$AX$32,13,FALSE)</f>
        <v>202</v>
      </c>
      <c r="N62" s="102">
        <f>VLOOKUP(28,$A$4:$AX$32,14,FALSE)</f>
        <v>194</v>
      </c>
      <c r="O62" s="102">
        <f>VLOOKUP(28,$A$4:$AX$32,15,FALSE)</f>
        <v>195</v>
      </c>
      <c r="P62" s="102">
        <f>VLOOKUP(28,$A$4:$AX$32,16,FALSE)</f>
        <v>216</v>
      </c>
      <c r="Q62" s="102">
        <f>VLOOKUP(28,$A$4:$AX$32,17,FALSE)</f>
        <v>197</v>
      </c>
      <c r="R62" s="102">
        <f>VLOOKUP(28,$A$4:$AX$32,18,FALSE)</f>
        <v>175</v>
      </c>
      <c r="S62" s="102">
        <f>VLOOKUP(28,$A$4:$AX$32,19,FALSE)</f>
        <v>202</v>
      </c>
      <c r="T62" s="102">
        <f>VLOOKUP(28,$A$4:$AX$32,20,FALSE)</f>
        <v>185</v>
      </c>
      <c r="U62" s="102">
        <f>VLOOKUP(28,$A$4:$AX$32,21,FALSE)</f>
        <v>183</v>
      </c>
      <c r="V62" s="102">
        <f>VLOOKUP(28,$A$4:$AX$32,22,FALSE)</f>
        <v>177</v>
      </c>
      <c r="W62" s="102">
        <f>VLOOKUP(28,$A$4:$AX$32,23,FALSE)</f>
        <v>197</v>
      </c>
      <c r="X62" s="102">
        <f>VLOOKUP(28,$A$4:$AX$32,24,FALSE)</f>
        <v>161</v>
      </c>
      <c r="Y62" s="102">
        <f>VLOOKUP(28,$A$4:$AX$32,25,FALSE)</f>
        <v>188</v>
      </c>
      <c r="Z62" s="102">
        <f>VLOOKUP(28,$A$4:$AX$32,26,FALSE)</f>
        <v>161</v>
      </c>
      <c r="AA62" s="102">
        <f>VLOOKUP(28,$A$4:$AX$32,27,FALSE)</f>
        <v>167</v>
      </c>
      <c r="AB62" s="102">
        <f>VLOOKUP(28,$A$4:$AX$32,28,FALSE)</f>
        <v>160</v>
      </c>
      <c r="AC62" s="102">
        <f>VLOOKUP(28,$A$4:$AX$32,29,FALSE)</f>
        <v>156</v>
      </c>
      <c r="AD62" s="102">
        <f>VLOOKUP(28,$A$4:$AX$32,30,FALSE)</f>
        <v>175</v>
      </c>
      <c r="AE62" s="102">
        <f>VLOOKUP(28,$A$4:$AX$32,31,FALSE)</f>
        <v>146</v>
      </c>
      <c r="AF62" s="102">
        <f>VLOOKUP(28,$A$4:$AX$32,32,FALSE)</f>
        <v>156</v>
      </c>
      <c r="AG62" s="102">
        <f>VLOOKUP(28,$A$4:$AX$32,33,FALSE)</f>
        <v>155</v>
      </c>
    </row>
    <row r="63" spans="1:33" ht="12.75">
      <c r="A63">
        <v>29</v>
      </c>
      <c r="B63" s="77" t="s">
        <v>71</v>
      </c>
      <c r="C63" s="102">
        <f>VLOOKUP(29,$A$4:$AX$32,3,FALSE)</f>
        <v>0</v>
      </c>
      <c r="D63" s="102">
        <f>VLOOKUP(29,$A$4:$AX$32,4,FALSE)</f>
        <v>0</v>
      </c>
      <c r="E63" s="102">
        <f>VLOOKUP(29,$A$4:$AX$32,5,FALSE)</f>
        <v>0</v>
      </c>
      <c r="F63" s="102">
        <f>VLOOKUP(29,$A$4:$AX$32,6,FALSE)</f>
        <v>0</v>
      </c>
      <c r="G63" s="102">
        <f>VLOOKUP(29,$A$4:$AX$32,7,FALSE)</f>
        <v>0</v>
      </c>
      <c r="H63" s="102">
        <f>VLOOKUP(29,$A$4:$AX$32,8,FALSE)</f>
        <v>0</v>
      </c>
      <c r="I63" s="102">
        <f>VLOOKUP(29,$A$4:$AX$32,9,FALSE)</f>
        <v>0</v>
      </c>
      <c r="J63" s="102">
        <f>VLOOKUP(29,$A$4:$AX$32,10,FALSE)</f>
        <v>0</v>
      </c>
      <c r="K63" s="102">
        <f>VLOOKUP(29,$A$4:$AX$32,11,FALSE)</f>
        <v>0</v>
      </c>
      <c r="L63" s="102">
        <f>VLOOKUP(29,$A$4:$AX$32,12,FALSE)</f>
        <v>0</v>
      </c>
      <c r="M63" s="102">
        <f>VLOOKUP(29,$A$4:$AX$32,13,FALSE)</f>
        <v>0</v>
      </c>
      <c r="N63" s="102">
        <f>VLOOKUP(29,$A$4:$AX$32,14,FALSE)</f>
        <v>0</v>
      </c>
      <c r="O63" s="102">
        <f>VLOOKUP(29,$A$4:$AX$32,15,FALSE)</f>
        <v>0</v>
      </c>
      <c r="P63" s="102">
        <f>VLOOKUP(29,$A$4:$AX$32,16,FALSE)</f>
        <v>0</v>
      </c>
      <c r="Q63" s="102">
        <f>VLOOKUP(29,$A$4:$AX$32,17,FALSE)</f>
        <v>0</v>
      </c>
      <c r="R63" s="102">
        <f>VLOOKUP(29,$A$4:$AX$32,18,FALSE)</f>
        <v>0</v>
      </c>
      <c r="S63" s="102">
        <f>VLOOKUP(29,$A$4:$AX$32,19,FALSE)</f>
        <v>0</v>
      </c>
      <c r="T63" s="102">
        <f>VLOOKUP(29,$A$4:$AX$32,20,FALSE)</f>
        <v>0</v>
      </c>
      <c r="U63" s="102">
        <f>VLOOKUP(29,$A$4:$AX$32,21,FALSE)</f>
        <v>0</v>
      </c>
      <c r="V63" s="102">
        <f>VLOOKUP(29,$A$4:$AX$32,22,FALSE)</f>
        <v>0</v>
      </c>
      <c r="W63" s="102">
        <f>VLOOKUP(29,$A$4:$AX$32,23,FALSE)</f>
        <v>0</v>
      </c>
      <c r="X63" s="102">
        <f>VLOOKUP(29,$A$4:$AX$32,24,FALSE)</f>
        <v>0</v>
      </c>
      <c r="Y63" s="102">
        <f>VLOOKUP(29,$A$4:$AX$32,25,FALSE)</f>
        <v>0</v>
      </c>
      <c r="Z63" s="102">
        <f>VLOOKUP(29,$A$4:$AX$32,26,FALSE)</f>
        <v>0</v>
      </c>
      <c r="AA63" s="102">
        <f>VLOOKUP(29,$A$4:$AX$32,27,FALSE)</f>
        <v>0</v>
      </c>
      <c r="AB63" s="102">
        <f>VLOOKUP(29,$A$4:$AX$32,28,FALSE)</f>
        <v>0</v>
      </c>
      <c r="AC63" s="102">
        <f>VLOOKUP(29,$A$4:$AX$32,29,FALSE)</f>
        <v>0</v>
      </c>
      <c r="AD63" s="102">
        <f>VLOOKUP(29,$A$4:$AX$32,30,FALSE)</f>
        <v>0</v>
      </c>
      <c r="AE63" s="102">
        <f>VLOOKUP(29,$A$4:$AX$32,31,FALSE)</f>
        <v>0</v>
      </c>
      <c r="AF63" s="102">
        <f>VLOOKUP(29,$A$4:$AX$32,32,FALSE)</f>
        <v>0</v>
      </c>
      <c r="AG63" s="102">
        <f>VLOOKUP(29,$A$4:$AX$32,33,FALSE)</f>
        <v>3</v>
      </c>
    </row>
    <row r="64" spans="2:24" ht="12.75">
      <c r="B64" s="44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</row>
    <row r="65" spans="2:33" ht="13.5" thickBot="1">
      <c r="B65" s="9" t="s">
        <v>0</v>
      </c>
      <c r="C65" s="12">
        <v>38169</v>
      </c>
      <c r="D65" s="12">
        <v>38200</v>
      </c>
      <c r="E65" s="12">
        <v>38231</v>
      </c>
      <c r="F65" s="12">
        <v>38261</v>
      </c>
      <c r="G65" s="12">
        <v>38292</v>
      </c>
      <c r="H65" s="12">
        <v>38322</v>
      </c>
      <c r="I65" s="12">
        <v>38353</v>
      </c>
      <c r="J65" s="12">
        <v>38384</v>
      </c>
      <c r="K65" s="12">
        <v>38412</v>
      </c>
      <c r="L65" s="12">
        <v>38443</v>
      </c>
      <c r="M65" s="12">
        <v>38473</v>
      </c>
      <c r="N65" s="12">
        <v>38504</v>
      </c>
      <c r="O65" s="12">
        <v>38534</v>
      </c>
      <c r="P65" s="12">
        <v>38565</v>
      </c>
      <c r="Q65" s="12">
        <v>38596</v>
      </c>
      <c r="R65" s="12">
        <v>38626</v>
      </c>
      <c r="S65" s="12">
        <v>38657</v>
      </c>
      <c r="T65" s="12">
        <v>38687</v>
      </c>
      <c r="U65" s="12">
        <v>38718</v>
      </c>
      <c r="V65" s="12">
        <v>38749</v>
      </c>
      <c r="W65" s="12">
        <v>38777</v>
      </c>
      <c r="X65" s="12">
        <v>38808</v>
      </c>
      <c r="Y65" s="12">
        <v>38838</v>
      </c>
      <c r="Z65" s="12">
        <v>38869</v>
      </c>
      <c r="AA65" s="12">
        <v>38899</v>
      </c>
      <c r="AB65" s="12">
        <v>38930</v>
      </c>
      <c r="AC65" s="12">
        <v>38961</v>
      </c>
      <c r="AD65" s="12">
        <v>38991</v>
      </c>
      <c r="AE65" s="12">
        <v>39022</v>
      </c>
      <c r="AF65" s="12">
        <v>39052</v>
      </c>
      <c r="AG65" s="12">
        <v>39083</v>
      </c>
    </row>
    <row r="66" spans="2:33" ht="13.5" thickTop="1">
      <c r="B66" s="97" t="s">
        <v>1</v>
      </c>
      <c r="C66" s="98">
        <f aca="true" t="shared" si="0" ref="C66:AG73">IF(ISERROR(C35),0,C35)</f>
        <v>0</v>
      </c>
      <c r="D66" s="98">
        <f t="shared" si="0"/>
        <v>0</v>
      </c>
      <c r="E66" s="98">
        <f t="shared" si="0"/>
        <v>0</v>
      </c>
      <c r="F66" s="98">
        <f t="shared" si="0"/>
        <v>0</v>
      </c>
      <c r="G66" s="98">
        <f t="shared" si="0"/>
        <v>0</v>
      </c>
      <c r="H66" s="98">
        <f t="shared" si="0"/>
        <v>0</v>
      </c>
      <c r="I66" s="98">
        <f t="shared" si="0"/>
        <v>0</v>
      </c>
      <c r="J66" s="98">
        <f t="shared" si="0"/>
        <v>0</v>
      </c>
      <c r="K66" s="98">
        <f t="shared" si="0"/>
        <v>0</v>
      </c>
      <c r="L66" s="98">
        <f t="shared" si="0"/>
        <v>0</v>
      </c>
      <c r="M66" s="98">
        <f t="shared" si="0"/>
        <v>0</v>
      </c>
      <c r="N66" s="98">
        <f t="shared" si="0"/>
        <v>0</v>
      </c>
      <c r="O66" s="98">
        <f t="shared" si="0"/>
        <v>0</v>
      </c>
      <c r="P66" s="98">
        <f t="shared" si="0"/>
        <v>0</v>
      </c>
      <c r="Q66" s="98">
        <f t="shared" si="0"/>
        <v>0</v>
      </c>
      <c r="R66" s="98">
        <f t="shared" si="0"/>
        <v>0</v>
      </c>
      <c r="S66" s="98">
        <f t="shared" si="0"/>
        <v>0</v>
      </c>
      <c r="T66" s="98">
        <f t="shared" si="0"/>
        <v>1</v>
      </c>
      <c r="U66" s="98">
        <f t="shared" si="0"/>
        <v>8</v>
      </c>
      <c r="V66" s="98">
        <f t="shared" si="0"/>
        <v>14</v>
      </c>
      <c r="W66" s="98">
        <f t="shared" si="0"/>
        <v>16</v>
      </c>
      <c r="X66" s="98">
        <f t="shared" si="0"/>
        <v>21</v>
      </c>
      <c r="Y66" s="98">
        <f t="shared" si="0"/>
        <v>22</v>
      </c>
      <c r="Z66" s="98">
        <f t="shared" si="0"/>
        <v>26</v>
      </c>
      <c r="AA66" s="98">
        <f t="shared" si="0"/>
        <v>21</v>
      </c>
      <c r="AB66" s="98">
        <f t="shared" si="0"/>
        <v>27</v>
      </c>
      <c r="AC66" s="98">
        <f t="shared" si="0"/>
        <v>35</v>
      </c>
      <c r="AD66" s="98">
        <f t="shared" si="0"/>
        <v>46</v>
      </c>
      <c r="AE66" s="98">
        <f t="shared" si="0"/>
        <v>40</v>
      </c>
      <c r="AF66" s="98">
        <f t="shared" si="0"/>
        <v>34</v>
      </c>
      <c r="AG66" s="98">
        <f t="shared" si="0"/>
        <v>38</v>
      </c>
    </row>
    <row r="67" spans="2:33" ht="12.75">
      <c r="B67" s="99" t="s">
        <v>2</v>
      </c>
      <c r="C67" s="98">
        <f t="shared" si="0"/>
        <v>1421</v>
      </c>
      <c r="D67" s="98">
        <f t="shared" si="0"/>
        <v>1347</v>
      </c>
      <c r="E67" s="98">
        <f t="shared" si="0"/>
        <v>1397</v>
      </c>
      <c r="F67" s="98">
        <f t="shared" si="0"/>
        <v>1368</v>
      </c>
      <c r="G67" s="98">
        <f t="shared" si="0"/>
        <v>1415</v>
      </c>
      <c r="H67" s="98">
        <f t="shared" si="0"/>
        <v>1433</v>
      </c>
      <c r="I67" s="98">
        <f t="shared" si="0"/>
        <v>1397</v>
      </c>
      <c r="J67" s="98">
        <f t="shared" si="0"/>
        <v>1200</v>
      </c>
      <c r="K67" s="98">
        <f t="shared" si="0"/>
        <v>1614</v>
      </c>
      <c r="L67" s="98">
        <f t="shared" si="0"/>
        <v>1368</v>
      </c>
      <c r="M67" s="98">
        <f t="shared" si="0"/>
        <v>1478</v>
      </c>
      <c r="N67" s="98">
        <f t="shared" si="0"/>
        <v>1463</v>
      </c>
      <c r="O67" s="98">
        <f t="shared" si="0"/>
        <v>1368</v>
      </c>
      <c r="P67" s="98">
        <f t="shared" si="0"/>
        <v>1482</v>
      </c>
      <c r="Q67" s="98">
        <f t="shared" si="0"/>
        <v>1456</v>
      </c>
      <c r="R67" s="98">
        <f t="shared" si="0"/>
        <v>1433</v>
      </c>
      <c r="S67" s="98">
        <f t="shared" si="0"/>
        <v>1525</v>
      </c>
      <c r="T67" s="98">
        <f t="shared" si="0"/>
        <v>1535</v>
      </c>
      <c r="U67" s="98">
        <f t="shared" si="0"/>
        <v>1430</v>
      </c>
      <c r="V67" s="98">
        <f t="shared" si="0"/>
        <v>1385</v>
      </c>
      <c r="W67" s="98">
        <f t="shared" si="0"/>
        <v>1507</v>
      </c>
      <c r="X67" s="98">
        <f t="shared" si="0"/>
        <v>1310</v>
      </c>
      <c r="Y67" s="98">
        <f t="shared" si="0"/>
        <v>1455</v>
      </c>
      <c r="Z67" s="98">
        <f t="shared" si="0"/>
        <v>1481</v>
      </c>
      <c r="AA67" s="98">
        <f t="shared" si="0"/>
        <v>1365</v>
      </c>
      <c r="AB67" s="98">
        <f t="shared" si="0"/>
        <v>1388</v>
      </c>
      <c r="AC67" s="98">
        <f t="shared" si="0"/>
        <v>1335</v>
      </c>
      <c r="AD67" s="98">
        <f t="shared" si="0"/>
        <v>1504</v>
      </c>
      <c r="AE67" s="98">
        <f t="shared" si="0"/>
        <v>1448</v>
      </c>
      <c r="AF67" s="98">
        <f t="shared" si="0"/>
        <v>1333</v>
      </c>
      <c r="AG67" s="98">
        <f t="shared" si="0"/>
        <v>1569</v>
      </c>
    </row>
    <row r="68" spans="2:33" ht="12.75">
      <c r="B68" s="99" t="s">
        <v>3</v>
      </c>
      <c r="C68" s="98">
        <f t="shared" si="0"/>
        <v>240</v>
      </c>
      <c r="D68" s="98">
        <f t="shared" si="0"/>
        <v>222</v>
      </c>
      <c r="E68" s="98">
        <f t="shared" si="0"/>
        <v>250</v>
      </c>
      <c r="F68" s="98">
        <f t="shared" si="0"/>
        <v>241</v>
      </c>
      <c r="G68" s="98">
        <f t="shared" si="0"/>
        <v>251</v>
      </c>
      <c r="H68" s="98">
        <f t="shared" si="0"/>
        <v>263</v>
      </c>
      <c r="I68" s="98">
        <f t="shared" si="0"/>
        <v>256</v>
      </c>
      <c r="J68" s="98">
        <f t="shared" si="0"/>
        <v>241</v>
      </c>
      <c r="K68" s="98">
        <f t="shared" si="0"/>
        <v>327</v>
      </c>
      <c r="L68" s="98">
        <f t="shared" si="0"/>
        <v>278</v>
      </c>
      <c r="M68" s="98">
        <f t="shared" si="0"/>
        <v>278</v>
      </c>
      <c r="N68" s="98">
        <f t="shared" si="0"/>
        <v>279</v>
      </c>
      <c r="O68" s="98">
        <f t="shared" si="0"/>
        <v>275</v>
      </c>
      <c r="P68" s="98">
        <f t="shared" si="0"/>
        <v>289</v>
      </c>
      <c r="Q68" s="98">
        <f t="shared" si="0"/>
        <v>274</v>
      </c>
      <c r="R68" s="98">
        <f t="shared" si="0"/>
        <v>289</v>
      </c>
      <c r="S68" s="98">
        <f t="shared" si="0"/>
        <v>272</v>
      </c>
      <c r="T68" s="98">
        <f t="shared" si="0"/>
        <v>289</v>
      </c>
      <c r="U68" s="98">
        <f t="shared" si="0"/>
        <v>284</v>
      </c>
      <c r="V68" s="98">
        <f t="shared" si="0"/>
        <v>268</v>
      </c>
      <c r="W68" s="98">
        <f t="shared" si="0"/>
        <v>325</v>
      </c>
      <c r="X68" s="98">
        <f t="shared" si="0"/>
        <v>253</v>
      </c>
      <c r="Y68" s="98">
        <f t="shared" si="0"/>
        <v>311</v>
      </c>
      <c r="Z68" s="98">
        <f t="shared" si="0"/>
        <v>299</v>
      </c>
      <c r="AA68" s="98">
        <f t="shared" si="0"/>
        <v>282</v>
      </c>
      <c r="AB68" s="98">
        <f t="shared" si="0"/>
        <v>285</v>
      </c>
      <c r="AC68" s="98">
        <f t="shared" si="0"/>
        <v>267</v>
      </c>
      <c r="AD68" s="98">
        <f t="shared" si="0"/>
        <v>308</v>
      </c>
      <c r="AE68" s="98">
        <f t="shared" si="0"/>
        <v>292</v>
      </c>
      <c r="AF68" s="98">
        <f t="shared" si="0"/>
        <v>279</v>
      </c>
      <c r="AG68" s="98">
        <f t="shared" si="0"/>
        <v>308</v>
      </c>
    </row>
    <row r="69" spans="2:33" ht="12.75">
      <c r="B69" s="99" t="s">
        <v>42</v>
      </c>
      <c r="C69" s="98">
        <f t="shared" si="0"/>
        <v>0</v>
      </c>
      <c r="D69" s="98">
        <f t="shared" si="0"/>
        <v>0</v>
      </c>
      <c r="E69" s="98">
        <f t="shared" si="0"/>
        <v>0</v>
      </c>
      <c r="F69" s="98">
        <f t="shared" si="0"/>
        <v>0</v>
      </c>
      <c r="G69" s="98">
        <f t="shared" si="0"/>
        <v>0</v>
      </c>
      <c r="H69" s="98">
        <f t="shared" si="0"/>
        <v>0</v>
      </c>
      <c r="I69" s="98">
        <f t="shared" si="0"/>
        <v>0</v>
      </c>
      <c r="J69" s="98">
        <f t="shared" si="0"/>
        <v>0</v>
      </c>
      <c r="K69" s="98">
        <f t="shared" si="0"/>
        <v>0</v>
      </c>
      <c r="L69" s="98">
        <f t="shared" si="0"/>
        <v>0</v>
      </c>
      <c r="M69" s="98">
        <f t="shared" si="0"/>
        <v>0</v>
      </c>
      <c r="N69" s="98">
        <f t="shared" si="0"/>
        <v>0</v>
      </c>
      <c r="O69" s="98">
        <f t="shared" si="0"/>
        <v>0</v>
      </c>
      <c r="P69" s="98">
        <f t="shared" si="0"/>
        <v>0</v>
      </c>
      <c r="Q69" s="98">
        <f t="shared" si="0"/>
        <v>0</v>
      </c>
      <c r="R69" s="98">
        <f t="shared" si="0"/>
        <v>0</v>
      </c>
      <c r="S69" s="98">
        <f t="shared" si="0"/>
        <v>0</v>
      </c>
      <c r="T69" s="98">
        <f t="shared" si="0"/>
        <v>0</v>
      </c>
      <c r="U69" s="98">
        <f t="shared" si="0"/>
        <v>0</v>
      </c>
      <c r="V69" s="98">
        <f t="shared" si="0"/>
        <v>0</v>
      </c>
      <c r="W69" s="98">
        <f t="shared" si="0"/>
        <v>0</v>
      </c>
      <c r="X69" s="98">
        <f t="shared" si="0"/>
        <v>0</v>
      </c>
      <c r="Y69" s="98">
        <f t="shared" si="0"/>
        <v>0</v>
      </c>
      <c r="Z69" s="98">
        <f t="shared" si="0"/>
        <v>0</v>
      </c>
      <c r="AA69" s="98">
        <f t="shared" si="0"/>
        <v>0</v>
      </c>
      <c r="AB69" s="98">
        <f t="shared" si="0"/>
        <v>0</v>
      </c>
      <c r="AC69" s="98">
        <f t="shared" si="0"/>
        <v>1</v>
      </c>
      <c r="AD69" s="98">
        <f t="shared" si="0"/>
        <v>6</v>
      </c>
      <c r="AE69" s="98">
        <f t="shared" si="0"/>
        <v>9</v>
      </c>
      <c r="AF69" s="98">
        <f t="shared" si="0"/>
        <v>13</v>
      </c>
      <c r="AG69" s="98">
        <f t="shared" si="0"/>
        <v>22</v>
      </c>
    </row>
    <row r="70" spans="2:33" ht="12.75">
      <c r="B70" s="99" t="s">
        <v>4</v>
      </c>
      <c r="C70" s="98">
        <f t="shared" si="0"/>
        <v>1983</v>
      </c>
      <c r="D70" s="98">
        <f t="shared" si="0"/>
        <v>1804</v>
      </c>
      <c r="E70" s="98">
        <f t="shared" si="0"/>
        <v>1958</v>
      </c>
      <c r="F70" s="98">
        <f t="shared" si="0"/>
        <v>1920</v>
      </c>
      <c r="G70" s="98">
        <f t="shared" si="0"/>
        <v>2028</v>
      </c>
      <c r="H70" s="98">
        <f t="shared" si="0"/>
        <v>2006</v>
      </c>
      <c r="I70" s="98">
        <f t="shared" si="0"/>
        <v>1892</v>
      </c>
      <c r="J70" s="98">
        <f t="shared" si="0"/>
        <v>1672</v>
      </c>
      <c r="K70" s="98">
        <f t="shared" si="0"/>
        <v>2199</v>
      </c>
      <c r="L70" s="98">
        <f t="shared" si="0"/>
        <v>1889</v>
      </c>
      <c r="M70" s="98">
        <f t="shared" si="0"/>
        <v>1990</v>
      </c>
      <c r="N70" s="98">
        <f t="shared" si="0"/>
        <v>1925</v>
      </c>
      <c r="O70" s="98">
        <f t="shared" si="0"/>
        <v>1870</v>
      </c>
      <c r="P70" s="98">
        <f t="shared" si="0"/>
        <v>1853</v>
      </c>
      <c r="Q70" s="98">
        <f t="shared" si="0"/>
        <v>1938</v>
      </c>
      <c r="R70" s="98">
        <f t="shared" si="0"/>
        <v>1877</v>
      </c>
      <c r="S70" s="98">
        <f t="shared" si="0"/>
        <v>1885</v>
      </c>
      <c r="T70" s="98">
        <f t="shared" si="0"/>
        <v>1971</v>
      </c>
      <c r="U70" s="98">
        <f t="shared" si="0"/>
        <v>1831</v>
      </c>
      <c r="V70" s="98">
        <f t="shared" si="0"/>
        <v>1759</v>
      </c>
      <c r="W70" s="98">
        <f t="shared" si="0"/>
        <v>1954</v>
      </c>
      <c r="X70" s="98">
        <f t="shared" si="0"/>
        <v>1678</v>
      </c>
      <c r="Y70" s="98">
        <f t="shared" si="0"/>
        <v>1913</v>
      </c>
      <c r="Z70" s="98">
        <f t="shared" si="0"/>
        <v>1781</v>
      </c>
      <c r="AA70" s="98">
        <f t="shared" si="0"/>
        <v>1647</v>
      </c>
      <c r="AB70" s="98">
        <f t="shared" si="0"/>
        <v>1797</v>
      </c>
      <c r="AC70" s="98">
        <f t="shared" si="0"/>
        <v>1582</v>
      </c>
      <c r="AD70" s="98">
        <f t="shared" si="0"/>
        <v>1836</v>
      </c>
      <c r="AE70" s="98">
        <f t="shared" si="0"/>
        <v>1716</v>
      </c>
      <c r="AF70" s="98">
        <f t="shared" si="0"/>
        <v>1580</v>
      </c>
      <c r="AG70" s="98">
        <f t="shared" si="0"/>
        <v>1840</v>
      </c>
    </row>
    <row r="71" spans="2:33" ht="12.75">
      <c r="B71" s="99" t="s">
        <v>5</v>
      </c>
      <c r="C71" s="98">
        <f t="shared" si="0"/>
        <v>711</v>
      </c>
      <c r="D71" s="98">
        <f t="shared" si="0"/>
        <v>633</v>
      </c>
      <c r="E71" s="98">
        <f t="shared" si="0"/>
        <v>703</v>
      </c>
      <c r="F71" s="98">
        <f t="shared" si="0"/>
        <v>709</v>
      </c>
      <c r="G71" s="98">
        <f t="shared" si="0"/>
        <v>733</v>
      </c>
      <c r="H71" s="98">
        <f t="shared" si="0"/>
        <v>751</v>
      </c>
      <c r="I71" s="98">
        <f t="shared" si="0"/>
        <v>683</v>
      </c>
      <c r="J71" s="98">
        <f t="shared" si="0"/>
        <v>649</v>
      </c>
      <c r="K71" s="98">
        <f t="shared" si="0"/>
        <v>881</v>
      </c>
      <c r="L71" s="98">
        <f t="shared" si="0"/>
        <v>728</v>
      </c>
      <c r="M71" s="98">
        <f t="shared" si="0"/>
        <v>813</v>
      </c>
      <c r="N71" s="98">
        <f t="shared" si="0"/>
        <v>777</v>
      </c>
      <c r="O71" s="98">
        <f t="shared" si="0"/>
        <v>709</v>
      </c>
      <c r="P71" s="98">
        <f t="shared" si="0"/>
        <v>762</v>
      </c>
      <c r="Q71" s="98">
        <f t="shared" si="0"/>
        <v>777</v>
      </c>
      <c r="R71" s="98">
        <f t="shared" si="0"/>
        <v>763</v>
      </c>
      <c r="S71" s="98">
        <f t="shared" si="0"/>
        <v>738</v>
      </c>
      <c r="T71" s="98">
        <f t="shared" si="0"/>
        <v>808</v>
      </c>
      <c r="U71" s="98">
        <f t="shared" si="0"/>
        <v>753</v>
      </c>
      <c r="V71" s="98">
        <f t="shared" si="0"/>
        <v>695</v>
      </c>
      <c r="W71" s="98">
        <f t="shared" si="0"/>
        <v>819</v>
      </c>
      <c r="X71" s="98">
        <f t="shared" si="0"/>
        <v>688</v>
      </c>
      <c r="Y71" s="98">
        <f t="shared" si="0"/>
        <v>770</v>
      </c>
      <c r="Z71" s="98">
        <f t="shared" si="0"/>
        <v>768</v>
      </c>
      <c r="AA71" s="98">
        <f t="shared" si="0"/>
        <v>692</v>
      </c>
      <c r="AB71" s="98">
        <f t="shared" si="0"/>
        <v>734</v>
      </c>
      <c r="AC71" s="98">
        <f t="shared" si="0"/>
        <v>635</v>
      </c>
      <c r="AD71" s="98">
        <f t="shared" si="0"/>
        <v>713</v>
      </c>
      <c r="AE71" s="98">
        <f t="shared" si="0"/>
        <v>692</v>
      </c>
      <c r="AF71" s="98">
        <f t="shared" si="0"/>
        <v>626</v>
      </c>
      <c r="AG71" s="98">
        <f t="shared" si="0"/>
        <v>761</v>
      </c>
    </row>
    <row r="72" spans="2:33" ht="12.75">
      <c r="B72" s="99" t="s">
        <v>38</v>
      </c>
      <c r="C72" s="98">
        <f t="shared" si="0"/>
        <v>0</v>
      </c>
      <c r="D72" s="98">
        <f t="shared" si="0"/>
        <v>0</v>
      </c>
      <c r="E72" s="98">
        <f t="shared" si="0"/>
        <v>0</v>
      </c>
      <c r="F72" s="98">
        <f t="shared" si="0"/>
        <v>0</v>
      </c>
      <c r="G72" s="98">
        <f t="shared" si="0"/>
        <v>0</v>
      </c>
      <c r="H72" s="98">
        <f t="shared" si="0"/>
        <v>0</v>
      </c>
      <c r="I72" s="98">
        <f t="shared" si="0"/>
        <v>0</v>
      </c>
      <c r="J72" s="98">
        <f t="shared" si="0"/>
        <v>0</v>
      </c>
      <c r="K72" s="98">
        <f t="shared" si="0"/>
        <v>0</v>
      </c>
      <c r="L72" s="98">
        <f t="shared" si="0"/>
        <v>0</v>
      </c>
      <c r="M72" s="98">
        <f t="shared" si="0"/>
        <v>0</v>
      </c>
      <c r="N72" s="98">
        <f t="shared" si="0"/>
        <v>0</v>
      </c>
      <c r="O72" s="98">
        <f t="shared" si="0"/>
        <v>0</v>
      </c>
      <c r="P72" s="98">
        <f t="shared" si="0"/>
        <v>0</v>
      </c>
      <c r="Q72" s="98">
        <f t="shared" si="0"/>
        <v>0</v>
      </c>
      <c r="R72" s="98">
        <f t="shared" si="0"/>
        <v>0</v>
      </c>
      <c r="S72" s="98">
        <f t="shared" si="0"/>
        <v>0</v>
      </c>
      <c r="T72" s="98">
        <f t="shared" si="0"/>
        <v>0</v>
      </c>
      <c r="U72" s="98">
        <f t="shared" si="0"/>
        <v>0</v>
      </c>
      <c r="V72" s="98">
        <f t="shared" si="0"/>
        <v>0</v>
      </c>
      <c r="W72" s="98">
        <f t="shared" si="0"/>
        <v>0</v>
      </c>
      <c r="X72" s="98">
        <f t="shared" si="0"/>
        <v>0</v>
      </c>
      <c r="Y72" s="98">
        <f t="shared" si="0"/>
        <v>0</v>
      </c>
      <c r="Z72" s="98">
        <f t="shared" si="0"/>
        <v>9</v>
      </c>
      <c r="AA72" s="98">
        <f t="shared" si="0"/>
        <v>24</v>
      </c>
      <c r="AB72" s="98">
        <f t="shared" si="0"/>
        <v>31</v>
      </c>
      <c r="AC72" s="98">
        <f t="shared" si="0"/>
        <v>41</v>
      </c>
      <c r="AD72" s="98">
        <f t="shared" si="0"/>
        <v>72</v>
      </c>
      <c r="AE72" s="98">
        <f t="shared" si="0"/>
        <v>87</v>
      </c>
      <c r="AF72" s="98">
        <f t="shared" si="0"/>
        <v>90</v>
      </c>
      <c r="AG72" s="98">
        <f t="shared" si="0"/>
        <v>119</v>
      </c>
    </row>
    <row r="73" spans="2:33" ht="12.75">
      <c r="B73" s="99" t="s">
        <v>6</v>
      </c>
      <c r="C73" s="98">
        <f t="shared" si="0"/>
        <v>105</v>
      </c>
      <c r="D73" s="98">
        <f t="shared" si="0"/>
        <v>93</v>
      </c>
      <c r="E73" s="98">
        <f t="shared" si="0"/>
        <v>96</v>
      </c>
      <c r="F73" s="98">
        <f t="shared" si="0"/>
        <v>106</v>
      </c>
      <c r="G73" s="98">
        <f t="shared" si="0"/>
        <v>97</v>
      </c>
      <c r="H73" s="98">
        <f t="shared" si="0"/>
        <v>123</v>
      </c>
      <c r="I73" s="98">
        <f t="shared" si="0"/>
        <v>114</v>
      </c>
      <c r="J73" s="98">
        <f t="shared" si="0"/>
        <v>111</v>
      </c>
      <c r="K73" s="98">
        <f t="shared" si="0"/>
        <v>127</v>
      </c>
      <c r="L73" s="98">
        <f t="shared" si="0"/>
        <v>98</v>
      </c>
      <c r="M73" s="98">
        <f t="shared" si="0"/>
        <v>122</v>
      </c>
      <c r="N73" s="98">
        <f t="shared" si="0"/>
        <v>106</v>
      </c>
      <c r="O73" s="98">
        <f t="shared" si="0"/>
        <v>115</v>
      </c>
      <c r="P73" s="98">
        <f t="shared" si="0"/>
        <v>121</v>
      </c>
      <c r="Q73" s="98">
        <f t="shared" si="0"/>
        <v>123</v>
      </c>
      <c r="R73" s="98">
        <f t="shared" si="0"/>
        <v>125</v>
      </c>
      <c r="S73" s="98">
        <f t="shared" si="0"/>
        <v>129</v>
      </c>
      <c r="T73" s="98">
        <f t="shared" si="0"/>
        <v>132</v>
      </c>
      <c r="U73" s="98">
        <f t="shared" si="0"/>
        <v>128</v>
      </c>
      <c r="V73" s="98">
        <f t="shared" si="0"/>
        <v>130</v>
      </c>
      <c r="W73" s="98">
        <f t="shared" si="0"/>
        <v>134</v>
      </c>
      <c r="X73" s="98">
        <f t="shared" si="0"/>
        <v>122</v>
      </c>
      <c r="Y73" s="98">
        <f t="shared" si="0"/>
        <v>135</v>
      </c>
      <c r="Z73" s="98">
        <f t="shared" si="0"/>
        <v>122</v>
      </c>
      <c r="AA73" s="98">
        <f aca="true" t="shared" si="1" ref="Y73:AG88">IF(ISERROR(AA42),0,AA42)</f>
        <v>121</v>
      </c>
      <c r="AB73" s="98">
        <f t="shared" si="1"/>
        <v>128</v>
      </c>
      <c r="AC73" s="98">
        <f t="shared" si="1"/>
        <v>110</v>
      </c>
      <c r="AD73" s="98">
        <f t="shared" si="1"/>
        <v>126</v>
      </c>
      <c r="AE73" s="98">
        <f t="shared" si="1"/>
        <v>116</v>
      </c>
      <c r="AF73" s="98">
        <f t="shared" si="1"/>
        <v>116</v>
      </c>
      <c r="AG73" s="98">
        <f t="shared" si="1"/>
        <v>125</v>
      </c>
    </row>
    <row r="74" spans="2:33" ht="12.75">
      <c r="B74" s="99" t="s">
        <v>7</v>
      </c>
      <c r="C74" s="98">
        <f aca="true" t="shared" si="2" ref="C74:X85">IF(ISERROR(C43),0,C43)</f>
        <v>192</v>
      </c>
      <c r="D74" s="98">
        <f t="shared" si="2"/>
        <v>189</v>
      </c>
      <c r="E74" s="98">
        <f t="shared" si="2"/>
        <v>189</v>
      </c>
      <c r="F74" s="98">
        <f t="shared" si="2"/>
        <v>195</v>
      </c>
      <c r="G74" s="98">
        <f t="shared" si="2"/>
        <v>208</v>
      </c>
      <c r="H74" s="98">
        <f t="shared" si="2"/>
        <v>209</v>
      </c>
      <c r="I74" s="98">
        <f t="shared" si="2"/>
        <v>202</v>
      </c>
      <c r="J74" s="98">
        <f t="shared" si="2"/>
        <v>193</v>
      </c>
      <c r="K74" s="98">
        <f t="shared" si="2"/>
        <v>225</v>
      </c>
      <c r="L74" s="98">
        <f t="shared" si="2"/>
        <v>228</v>
      </c>
      <c r="M74" s="98">
        <f t="shared" si="2"/>
        <v>227</v>
      </c>
      <c r="N74" s="98">
        <f t="shared" si="2"/>
        <v>215</v>
      </c>
      <c r="O74" s="98">
        <f t="shared" si="2"/>
        <v>210</v>
      </c>
      <c r="P74" s="98">
        <f t="shared" si="2"/>
        <v>225</v>
      </c>
      <c r="Q74" s="98">
        <f t="shared" si="2"/>
        <v>186</v>
      </c>
      <c r="R74" s="98">
        <f t="shared" si="2"/>
        <v>210</v>
      </c>
      <c r="S74" s="98">
        <f t="shared" si="2"/>
        <v>215</v>
      </c>
      <c r="T74" s="98">
        <f t="shared" si="2"/>
        <v>217</v>
      </c>
      <c r="U74" s="98">
        <f t="shared" si="2"/>
        <v>199</v>
      </c>
      <c r="V74" s="98">
        <f t="shared" si="2"/>
        <v>212</v>
      </c>
      <c r="W74" s="98">
        <f t="shared" si="2"/>
        <v>217</v>
      </c>
      <c r="X74" s="98">
        <f t="shared" si="2"/>
        <v>185</v>
      </c>
      <c r="Y74" s="98">
        <f t="shared" si="1"/>
        <v>210</v>
      </c>
      <c r="Z74" s="98">
        <f t="shared" si="1"/>
        <v>201</v>
      </c>
      <c r="AA74" s="98">
        <f t="shared" si="1"/>
        <v>197</v>
      </c>
      <c r="AB74" s="98">
        <f t="shared" si="1"/>
        <v>212</v>
      </c>
      <c r="AC74" s="98">
        <f t="shared" si="1"/>
        <v>182</v>
      </c>
      <c r="AD74" s="98">
        <f t="shared" si="1"/>
        <v>220</v>
      </c>
      <c r="AE74" s="98">
        <f t="shared" si="1"/>
        <v>200</v>
      </c>
      <c r="AF74" s="98">
        <f t="shared" si="1"/>
        <v>179</v>
      </c>
      <c r="AG74" s="98">
        <f t="shared" si="1"/>
        <v>199</v>
      </c>
    </row>
    <row r="75" spans="2:33" ht="12.75">
      <c r="B75" s="99" t="s">
        <v>8</v>
      </c>
      <c r="C75" s="98">
        <f t="shared" si="2"/>
        <v>264</v>
      </c>
      <c r="D75" s="98">
        <f t="shared" si="2"/>
        <v>276</v>
      </c>
      <c r="E75" s="98">
        <f t="shared" si="2"/>
        <v>269</v>
      </c>
      <c r="F75" s="98">
        <f t="shared" si="2"/>
        <v>284</v>
      </c>
      <c r="G75" s="98">
        <f t="shared" si="2"/>
        <v>306</v>
      </c>
      <c r="H75" s="98">
        <f t="shared" si="2"/>
        <v>323</v>
      </c>
      <c r="I75" s="98">
        <f t="shared" si="2"/>
        <v>315</v>
      </c>
      <c r="J75" s="98">
        <f t="shared" si="2"/>
        <v>271</v>
      </c>
      <c r="K75" s="98">
        <f t="shared" si="2"/>
        <v>388</v>
      </c>
      <c r="L75" s="98">
        <f t="shared" si="2"/>
        <v>341</v>
      </c>
      <c r="M75" s="98">
        <f t="shared" si="2"/>
        <v>353</v>
      </c>
      <c r="N75" s="98">
        <f t="shared" si="2"/>
        <v>339</v>
      </c>
      <c r="O75" s="98">
        <f t="shared" si="2"/>
        <v>328</v>
      </c>
      <c r="P75" s="98">
        <f t="shared" si="2"/>
        <v>326</v>
      </c>
      <c r="Q75" s="98">
        <f t="shared" si="2"/>
        <v>324</v>
      </c>
      <c r="R75" s="98">
        <f t="shared" si="2"/>
        <v>342</v>
      </c>
      <c r="S75" s="98">
        <f t="shared" si="2"/>
        <v>353</v>
      </c>
      <c r="T75" s="98">
        <f t="shared" si="2"/>
        <v>377</v>
      </c>
      <c r="U75" s="98">
        <f t="shared" si="2"/>
        <v>340</v>
      </c>
      <c r="V75" s="98">
        <f t="shared" si="2"/>
        <v>362</v>
      </c>
      <c r="W75" s="98">
        <f t="shared" si="2"/>
        <v>380</v>
      </c>
      <c r="X75" s="98">
        <f t="shared" si="2"/>
        <v>335</v>
      </c>
      <c r="Y75" s="98">
        <f t="shared" si="1"/>
        <v>380</v>
      </c>
      <c r="Z75" s="98">
        <f t="shared" si="1"/>
        <v>373</v>
      </c>
      <c r="AA75" s="98">
        <f t="shared" si="1"/>
        <v>338</v>
      </c>
      <c r="AB75" s="98">
        <f t="shared" si="1"/>
        <v>359</v>
      </c>
      <c r="AC75" s="98">
        <f t="shared" si="1"/>
        <v>334</v>
      </c>
      <c r="AD75" s="98">
        <f t="shared" si="1"/>
        <v>363</v>
      </c>
      <c r="AE75" s="98">
        <f t="shared" si="1"/>
        <v>323</v>
      </c>
      <c r="AF75" s="98">
        <f t="shared" si="1"/>
        <v>327</v>
      </c>
      <c r="AG75" s="98">
        <f t="shared" si="1"/>
        <v>339</v>
      </c>
    </row>
    <row r="76" spans="2:33" ht="12.75">
      <c r="B76" s="99" t="s">
        <v>9</v>
      </c>
      <c r="C76" s="98">
        <f t="shared" si="2"/>
        <v>1347</v>
      </c>
      <c r="D76" s="98">
        <f t="shared" si="2"/>
        <v>1278</v>
      </c>
      <c r="E76" s="98">
        <f t="shared" si="2"/>
        <v>1299</v>
      </c>
      <c r="F76" s="98">
        <f t="shared" si="2"/>
        <v>1312</v>
      </c>
      <c r="G76" s="98">
        <f t="shared" si="2"/>
        <v>1396</v>
      </c>
      <c r="H76" s="98">
        <f t="shared" si="2"/>
        <v>1457</v>
      </c>
      <c r="I76" s="98">
        <f t="shared" si="2"/>
        <v>1353</v>
      </c>
      <c r="J76" s="98">
        <f t="shared" si="2"/>
        <v>1286</v>
      </c>
      <c r="K76" s="98">
        <f t="shared" si="2"/>
        <v>1674</v>
      </c>
      <c r="L76" s="98">
        <f t="shared" si="2"/>
        <v>1528</v>
      </c>
      <c r="M76" s="98">
        <f t="shared" si="2"/>
        <v>1589</v>
      </c>
      <c r="N76" s="98">
        <f t="shared" si="2"/>
        <v>1466</v>
      </c>
      <c r="O76" s="98">
        <f t="shared" si="2"/>
        <v>1461</v>
      </c>
      <c r="P76" s="98">
        <f t="shared" si="2"/>
        <v>1530</v>
      </c>
      <c r="Q76" s="98">
        <f t="shared" si="2"/>
        <v>1490</v>
      </c>
      <c r="R76" s="98">
        <f t="shared" si="2"/>
        <v>1524</v>
      </c>
      <c r="S76" s="98">
        <f t="shared" si="2"/>
        <v>1623</v>
      </c>
      <c r="T76" s="98">
        <f t="shared" si="2"/>
        <v>1636</v>
      </c>
      <c r="U76" s="98">
        <f t="shared" si="2"/>
        <v>1565</v>
      </c>
      <c r="V76" s="98">
        <f t="shared" si="2"/>
        <v>1576</v>
      </c>
      <c r="W76" s="98">
        <f t="shared" si="2"/>
        <v>1694</v>
      </c>
      <c r="X76" s="98">
        <f t="shared" si="2"/>
        <v>1571</v>
      </c>
      <c r="Y76" s="98">
        <f t="shared" si="1"/>
        <v>1746</v>
      </c>
      <c r="Z76" s="98">
        <f t="shared" si="1"/>
        <v>1703</v>
      </c>
      <c r="AA76" s="98">
        <f t="shared" si="1"/>
        <v>1589</v>
      </c>
      <c r="AB76" s="98">
        <f t="shared" si="1"/>
        <v>1719</v>
      </c>
      <c r="AC76" s="98">
        <f t="shared" si="1"/>
        <v>1583</v>
      </c>
      <c r="AD76" s="98">
        <f t="shared" si="1"/>
        <v>1718</v>
      </c>
      <c r="AE76" s="98">
        <f t="shared" si="1"/>
        <v>1642</v>
      </c>
      <c r="AF76" s="98">
        <f t="shared" si="1"/>
        <v>1561</v>
      </c>
      <c r="AG76" s="98">
        <f t="shared" si="1"/>
        <v>1762</v>
      </c>
    </row>
    <row r="77" spans="2:33" ht="12.75">
      <c r="B77" s="99" t="s">
        <v>10</v>
      </c>
      <c r="C77" s="98">
        <f t="shared" si="2"/>
        <v>469</v>
      </c>
      <c r="D77" s="98">
        <f t="shared" si="2"/>
        <v>425</v>
      </c>
      <c r="E77" s="98">
        <f t="shared" si="2"/>
        <v>472</v>
      </c>
      <c r="F77" s="98">
        <f t="shared" si="2"/>
        <v>512</v>
      </c>
      <c r="G77" s="98">
        <f t="shared" si="2"/>
        <v>519</v>
      </c>
      <c r="H77" s="98">
        <f t="shared" si="2"/>
        <v>537</v>
      </c>
      <c r="I77" s="98">
        <f t="shared" si="2"/>
        <v>520</v>
      </c>
      <c r="J77" s="98">
        <f t="shared" si="2"/>
        <v>495</v>
      </c>
      <c r="K77" s="98">
        <f t="shared" si="2"/>
        <v>632</v>
      </c>
      <c r="L77" s="98">
        <f t="shared" si="2"/>
        <v>549</v>
      </c>
      <c r="M77" s="98">
        <f t="shared" si="2"/>
        <v>582</v>
      </c>
      <c r="N77" s="98">
        <f t="shared" si="2"/>
        <v>553</v>
      </c>
      <c r="O77" s="98">
        <f t="shared" si="2"/>
        <v>527</v>
      </c>
      <c r="P77" s="98">
        <f t="shared" si="2"/>
        <v>532</v>
      </c>
      <c r="Q77" s="98">
        <f t="shared" si="2"/>
        <v>565</v>
      </c>
      <c r="R77" s="98">
        <f t="shared" si="2"/>
        <v>555</v>
      </c>
      <c r="S77" s="98">
        <f t="shared" si="2"/>
        <v>563</v>
      </c>
      <c r="T77" s="98">
        <f t="shared" si="2"/>
        <v>601</v>
      </c>
      <c r="U77" s="98">
        <f t="shared" si="2"/>
        <v>561</v>
      </c>
      <c r="V77" s="98">
        <f t="shared" si="2"/>
        <v>541</v>
      </c>
      <c r="W77" s="98">
        <f t="shared" si="2"/>
        <v>631</v>
      </c>
      <c r="X77" s="98">
        <f t="shared" si="2"/>
        <v>577</v>
      </c>
      <c r="Y77" s="98">
        <f t="shared" si="1"/>
        <v>635</v>
      </c>
      <c r="Z77" s="98">
        <f t="shared" si="1"/>
        <v>624</v>
      </c>
      <c r="AA77" s="98">
        <f t="shared" si="1"/>
        <v>588</v>
      </c>
      <c r="AB77" s="98">
        <f t="shared" si="1"/>
        <v>629</v>
      </c>
      <c r="AC77" s="98">
        <f t="shared" si="1"/>
        <v>591</v>
      </c>
      <c r="AD77" s="98">
        <f t="shared" si="1"/>
        <v>641</v>
      </c>
      <c r="AE77" s="98">
        <f t="shared" si="1"/>
        <v>590</v>
      </c>
      <c r="AF77" s="98">
        <f t="shared" si="1"/>
        <v>577</v>
      </c>
      <c r="AG77" s="98">
        <f t="shared" si="1"/>
        <v>622</v>
      </c>
    </row>
    <row r="78" spans="2:33" ht="12.75">
      <c r="B78" s="99" t="s">
        <v>11</v>
      </c>
      <c r="C78" s="98">
        <f t="shared" si="2"/>
        <v>397</v>
      </c>
      <c r="D78" s="98">
        <f t="shared" si="2"/>
        <v>384</v>
      </c>
      <c r="E78" s="98">
        <f t="shared" si="2"/>
        <v>425</v>
      </c>
      <c r="F78" s="98">
        <f t="shared" si="2"/>
        <v>397</v>
      </c>
      <c r="G78" s="98">
        <f t="shared" si="2"/>
        <v>421</v>
      </c>
      <c r="H78" s="98">
        <f t="shared" si="2"/>
        <v>423</v>
      </c>
      <c r="I78" s="98">
        <f t="shared" si="2"/>
        <v>413</v>
      </c>
      <c r="J78" s="98">
        <f t="shared" si="2"/>
        <v>360</v>
      </c>
      <c r="K78" s="98">
        <f t="shared" si="2"/>
        <v>489</v>
      </c>
      <c r="L78" s="98">
        <f t="shared" si="2"/>
        <v>427</v>
      </c>
      <c r="M78" s="98">
        <f t="shared" si="2"/>
        <v>445</v>
      </c>
      <c r="N78" s="98">
        <f t="shared" si="2"/>
        <v>424</v>
      </c>
      <c r="O78" s="98">
        <f t="shared" si="2"/>
        <v>418</v>
      </c>
      <c r="P78" s="98">
        <f t="shared" si="2"/>
        <v>461</v>
      </c>
      <c r="Q78" s="98">
        <f t="shared" si="2"/>
        <v>433</v>
      </c>
      <c r="R78" s="98">
        <f t="shared" si="2"/>
        <v>452</v>
      </c>
      <c r="S78" s="98">
        <f t="shared" si="2"/>
        <v>450</v>
      </c>
      <c r="T78" s="98">
        <f t="shared" si="2"/>
        <v>463</v>
      </c>
      <c r="U78" s="98">
        <f t="shared" si="2"/>
        <v>438</v>
      </c>
      <c r="V78" s="98">
        <f t="shared" si="2"/>
        <v>432</v>
      </c>
      <c r="W78" s="98">
        <f t="shared" si="2"/>
        <v>439</v>
      </c>
      <c r="X78" s="98">
        <f t="shared" si="2"/>
        <v>411</v>
      </c>
      <c r="Y78" s="98">
        <f t="shared" si="1"/>
        <v>462</v>
      </c>
      <c r="Z78" s="98">
        <f t="shared" si="1"/>
        <v>463</v>
      </c>
      <c r="AA78" s="98">
        <f t="shared" si="1"/>
        <v>415</v>
      </c>
      <c r="AB78" s="98">
        <f t="shared" si="1"/>
        <v>445</v>
      </c>
      <c r="AC78" s="98">
        <f t="shared" si="1"/>
        <v>400</v>
      </c>
      <c r="AD78" s="98">
        <f t="shared" si="1"/>
        <v>423</v>
      </c>
      <c r="AE78" s="98">
        <f t="shared" si="1"/>
        <v>404</v>
      </c>
      <c r="AF78" s="98">
        <f t="shared" si="1"/>
        <v>410</v>
      </c>
      <c r="AG78" s="98">
        <f t="shared" si="1"/>
        <v>477</v>
      </c>
    </row>
    <row r="79" spans="2:33" ht="12.75">
      <c r="B79" s="99" t="s">
        <v>12</v>
      </c>
      <c r="C79" s="98">
        <f t="shared" si="2"/>
        <v>21</v>
      </c>
      <c r="D79" s="98">
        <f t="shared" si="2"/>
        <v>18</v>
      </c>
      <c r="E79" s="98">
        <f t="shared" si="2"/>
        <v>24</v>
      </c>
      <c r="F79" s="98">
        <f t="shared" si="2"/>
        <v>24</v>
      </c>
      <c r="G79" s="98">
        <f t="shared" si="2"/>
        <v>22</v>
      </c>
      <c r="H79" s="98">
        <f t="shared" si="2"/>
        <v>32</v>
      </c>
      <c r="I79" s="98">
        <f t="shared" si="2"/>
        <v>30</v>
      </c>
      <c r="J79" s="98">
        <f t="shared" si="2"/>
        <v>23</v>
      </c>
      <c r="K79" s="98">
        <f t="shared" si="2"/>
        <v>33</v>
      </c>
      <c r="L79" s="98">
        <f t="shared" si="2"/>
        <v>33</v>
      </c>
      <c r="M79" s="98">
        <f t="shared" si="2"/>
        <v>34</v>
      </c>
      <c r="N79" s="98">
        <f t="shared" si="2"/>
        <v>40</v>
      </c>
      <c r="O79" s="98">
        <f t="shared" si="2"/>
        <v>42</v>
      </c>
      <c r="P79" s="98">
        <f t="shared" si="2"/>
        <v>42</v>
      </c>
      <c r="Q79" s="98">
        <f t="shared" si="2"/>
        <v>45</v>
      </c>
      <c r="R79" s="98">
        <f t="shared" si="2"/>
        <v>40</v>
      </c>
      <c r="S79" s="98">
        <f t="shared" si="2"/>
        <v>52</v>
      </c>
      <c r="T79" s="98">
        <f t="shared" si="2"/>
        <v>59</v>
      </c>
      <c r="U79" s="98">
        <f t="shared" si="2"/>
        <v>48</v>
      </c>
      <c r="V79" s="98">
        <f t="shared" si="2"/>
        <v>54</v>
      </c>
      <c r="W79" s="98">
        <f t="shared" si="2"/>
        <v>75</v>
      </c>
      <c r="X79" s="98">
        <f t="shared" si="2"/>
        <v>57</v>
      </c>
      <c r="Y79" s="98">
        <f t="shared" si="1"/>
        <v>73</v>
      </c>
      <c r="Z79" s="98">
        <f t="shared" si="1"/>
        <v>70</v>
      </c>
      <c r="AA79" s="98">
        <f t="shared" si="1"/>
        <v>80</v>
      </c>
      <c r="AB79" s="98">
        <f t="shared" si="1"/>
        <v>81</v>
      </c>
      <c r="AC79" s="98">
        <f t="shared" si="1"/>
        <v>72</v>
      </c>
      <c r="AD79" s="98">
        <f t="shared" si="1"/>
        <v>85</v>
      </c>
      <c r="AE79" s="98">
        <f t="shared" si="1"/>
        <v>78</v>
      </c>
      <c r="AF79" s="98">
        <f t="shared" si="1"/>
        <v>60</v>
      </c>
      <c r="AG79" s="98">
        <f t="shared" si="1"/>
        <v>78</v>
      </c>
    </row>
    <row r="80" spans="2:33" ht="12.75">
      <c r="B80" s="99" t="s">
        <v>13</v>
      </c>
      <c r="C80" s="98">
        <f t="shared" si="2"/>
        <v>0</v>
      </c>
      <c r="D80" s="98">
        <f t="shared" si="2"/>
        <v>0</v>
      </c>
      <c r="E80" s="98">
        <f t="shared" si="2"/>
        <v>0</v>
      </c>
      <c r="F80" s="98">
        <f t="shared" si="2"/>
        <v>0</v>
      </c>
      <c r="G80" s="98">
        <f t="shared" si="2"/>
        <v>0</v>
      </c>
      <c r="H80" s="98">
        <f t="shared" si="2"/>
        <v>0</v>
      </c>
      <c r="I80" s="98">
        <f t="shared" si="2"/>
        <v>0</v>
      </c>
      <c r="J80" s="98">
        <f t="shared" si="2"/>
        <v>0</v>
      </c>
      <c r="K80" s="98">
        <f t="shared" si="2"/>
        <v>0</v>
      </c>
      <c r="L80" s="98">
        <f t="shared" si="2"/>
        <v>0</v>
      </c>
      <c r="M80" s="98">
        <f t="shared" si="2"/>
        <v>0</v>
      </c>
      <c r="N80" s="98">
        <f t="shared" si="2"/>
        <v>0</v>
      </c>
      <c r="O80" s="98">
        <f t="shared" si="2"/>
        <v>0</v>
      </c>
      <c r="P80" s="98">
        <f t="shared" si="2"/>
        <v>0</v>
      </c>
      <c r="Q80" s="98">
        <f t="shared" si="2"/>
        <v>0</v>
      </c>
      <c r="R80" s="98">
        <f t="shared" si="2"/>
        <v>0</v>
      </c>
      <c r="S80" s="98">
        <f t="shared" si="2"/>
        <v>0</v>
      </c>
      <c r="T80" s="98">
        <f t="shared" si="2"/>
        <v>0</v>
      </c>
      <c r="U80" s="98">
        <f t="shared" si="2"/>
        <v>0</v>
      </c>
      <c r="V80" s="98">
        <f t="shared" si="2"/>
        <v>44</v>
      </c>
      <c r="W80" s="98">
        <f t="shared" si="2"/>
        <v>123</v>
      </c>
      <c r="X80" s="98">
        <f t="shared" si="2"/>
        <v>149</v>
      </c>
      <c r="Y80" s="98">
        <f t="shared" si="1"/>
        <v>231</v>
      </c>
      <c r="Z80" s="98">
        <f t="shared" si="1"/>
        <v>312</v>
      </c>
      <c r="AA80" s="98">
        <f t="shared" si="1"/>
        <v>321</v>
      </c>
      <c r="AB80" s="98">
        <f t="shared" si="1"/>
        <v>351</v>
      </c>
      <c r="AC80" s="98">
        <f t="shared" si="1"/>
        <v>422</v>
      </c>
      <c r="AD80" s="98">
        <f t="shared" si="1"/>
        <v>475</v>
      </c>
      <c r="AE80" s="98">
        <f t="shared" si="1"/>
        <v>506</v>
      </c>
      <c r="AF80" s="98">
        <f t="shared" si="1"/>
        <v>492</v>
      </c>
      <c r="AG80" s="98">
        <f t="shared" si="1"/>
        <v>587</v>
      </c>
    </row>
    <row r="81" spans="2:33" ht="12.75">
      <c r="B81" s="99" t="s">
        <v>14</v>
      </c>
      <c r="C81" s="98">
        <f t="shared" si="2"/>
        <v>225</v>
      </c>
      <c r="D81" s="98">
        <f t="shared" si="2"/>
        <v>222</v>
      </c>
      <c r="E81" s="98">
        <f t="shared" si="2"/>
        <v>225</v>
      </c>
      <c r="F81" s="98">
        <f t="shared" si="2"/>
        <v>246</v>
      </c>
      <c r="G81" s="98">
        <f t="shared" si="2"/>
        <v>264</v>
      </c>
      <c r="H81" s="98">
        <f t="shared" si="2"/>
        <v>280</v>
      </c>
      <c r="I81" s="98">
        <f t="shared" si="2"/>
        <v>304</v>
      </c>
      <c r="J81" s="98">
        <f t="shared" si="2"/>
        <v>271</v>
      </c>
      <c r="K81" s="98">
        <f t="shared" si="2"/>
        <v>392</v>
      </c>
      <c r="L81" s="98">
        <f t="shared" si="2"/>
        <v>350</v>
      </c>
      <c r="M81" s="98">
        <f t="shared" si="2"/>
        <v>395</v>
      </c>
      <c r="N81" s="98">
        <f t="shared" si="2"/>
        <v>375</v>
      </c>
      <c r="O81" s="98">
        <f t="shared" si="2"/>
        <v>356</v>
      </c>
      <c r="P81" s="98">
        <f t="shared" si="2"/>
        <v>387</v>
      </c>
      <c r="Q81" s="98">
        <f t="shared" si="2"/>
        <v>379</v>
      </c>
      <c r="R81" s="98">
        <f t="shared" si="2"/>
        <v>415</v>
      </c>
      <c r="S81" s="98">
        <f t="shared" si="2"/>
        <v>440</v>
      </c>
      <c r="T81" s="98">
        <f t="shared" si="2"/>
        <v>451</v>
      </c>
      <c r="U81" s="98">
        <f t="shared" si="2"/>
        <v>419</v>
      </c>
      <c r="V81" s="98">
        <f t="shared" si="2"/>
        <v>458</v>
      </c>
      <c r="W81" s="98">
        <f t="shared" si="2"/>
        <v>505</v>
      </c>
      <c r="X81" s="98">
        <f t="shared" si="2"/>
        <v>451</v>
      </c>
      <c r="Y81" s="98">
        <f t="shared" si="1"/>
        <v>520</v>
      </c>
      <c r="Z81" s="98">
        <f t="shared" si="1"/>
        <v>521</v>
      </c>
      <c r="AA81" s="98">
        <f t="shared" si="1"/>
        <v>501</v>
      </c>
      <c r="AB81" s="98">
        <f t="shared" si="1"/>
        <v>519</v>
      </c>
      <c r="AC81" s="98">
        <f t="shared" si="1"/>
        <v>493</v>
      </c>
      <c r="AD81" s="98">
        <f t="shared" si="1"/>
        <v>512</v>
      </c>
      <c r="AE81" s="98">
        <f t="shared" si="1"/>
        <v>506</v>
      </c>
      <c r="AF81" s="98">
        <f t="shared" si="1"/>
        <v>470</v>
      </c>
      <c r="AG81" s="98">
        <f t="shared" si="1"/>
        <v>530</v>
      </c>
    </row>
    <row r="82" spans="2:33" ht="12.75">
      <c r="B82" s="99" t="s">
        <v>15</v>
      </c>
      <c r="C82" s="98">
        <f t="shared" si="2"/>
        <v>20</v>
      </c>
      <c r="D82" s="98">
        <f t="shared" si="2"/>
        <v>22</v>
      </c>
      <c r="E82" s="98">
        <f t="shared" si="2"/>
        <v>17</v>
      </c>
      <c r="F82" s="98">
        <f t="shared" si="2"/>
        <v>33</v>
      </c>
      <c r="G82" s="98">
        <f t="shared" si="2"/>
        <v>32</v>
      </c>
      <c r="H82" s="98">
        <f t="shared" si="2"/>
        <v>35</v>
      </c>
      <c r="I82" s="98">
        <f t="shared" si="2"/>
        <v>43</v>
      </c>
      <c r="J82" s="98">
        <f t="shared" si="2"/>
        <v>30</v>
      </c>
      <c r="K82" s="98">
        <f t="shared" si="2"/>
        <v>42</v>
      </c>
      <c r="L82" s="98">
        <f t="shared" si="2"/>
        <v>31</v>
      </c>
      <c r="M82" s="98">
        <f t="shared" si="2"/>
        <v>39</v>
      </c>
      <c r="N82" s="98">
        <f t="shared" si="2"/>
        <v>34</v>
      </c>
      <c r="O82" s="98">
        <f t="shared" si="2"/>
        <v>39</v>
      </c>
      <c r="P82" s="98">
        <f t="shared" si="2"/>
        <v>53</v>
      </c>
      <c r="Q82" s="98">
        <f t="shared" si="2"/>
        <v>48</v>
      </c>
      <c r="R82" s="98">
        <f t="shared" si="2"/>
        <v>52</v>
      </c>
      <c r="S82" s="98">
        <f t="shared" si="2"/>
        <v>54</v>
      </c>
      <c r="T82" s="98">
        <f t="shared" si="2"/>
        <v>51</v>
      </c>
      <c r="U82" s="98">
        <f t="shared" si="2"/>
        <v>60</v>
      </c>
      <c r="V82" s="98">
        <f t="shared" si="2"/>
        <v>45</v>
      </c>
      <c r="W82" s="98">
        <f t="shared" si="2"/>
        <v>68</v>
      </c>
      <c r="X82" s="98">
        <f t="shared" si="2"/>
        <v>57</v>
      </c>
      <c r="Y82" s="98">
        <f t="shared" si="1"/>
        <v>68</v>
      </c>
      <c r="Z82" s="98">
        <f t="shared" si="1"/>
        <v>63</v>
      </c>
      <c r="AA82" s="98">
        <f t="shared" si="1"/>
        <v>59</v>
      </c>
      <c r="AB82" s="98">
        <f t="shared" si="1"/>
        <v>60</v>
      </c>
      <c r="AC82" s="98">
        <f t="shared" si="1"/>
        <v>66</v>
      </c>
      <c r="AD82" s="98">
        <f t="shared" si="1"/>
        <v>68</v>
      </c>
      <c r="AE82" s="98">
        <f t="shared" si="1"/>
        <v>73</v>
      </c>
      <c r="AF82" s="98">
        <f t="shared" si="1"/>
        <v>64</v>
      </c>
      <c r="AG82" s="98">
        <f t="shared" si="1"/>
        <v>84</v>
      </c>
    </row>
    <row r="83" spans="2:33" ht="12.75">
      <c r="B83" s="99" t="s">
        <v>16</v>
      </c>
      <c r="C83" s="98">
        <f t="shared" si="2"/>
        <v>0</v>
      </c>
      <c r="D83" s="98">
        <f t="shared" si="2"/>
        <v>0</v>
      </c>
      <c r="E83" s="98">
        <f t="shared" si="2"/>
        <v>0</v>
      </c>
      <c r="F83" s="98">
        <f t="shared" si="2"/>
        <v>0</v>
      </c>
      <c r="G83" s="98">
        <f t="shared" si="2"/>
        <v>0</v>
      </c>
      <c r="H83" s="98">
        <f t="shared" si="2"/>
        <v>0</v>
      </c>
      <c r="I83" s="98">
        <f t="shared" si="2"/>
        <v>6</v>
      </c>
      <c r="J83" s="98">
        <f t="shared" si="2"/>
        <v>43</v>
      </c>
      <c r="K83" s="98">
        <f t="shared" si="2"/>
        <v>133</v>
      </c>
      <c r="L83" s="98">
        <f t="shared" si="2"/>
        <v>172</v>
      </c>
      <c r="M83" s="98">
        <f t="shared" si="2"/>
        <v>214</v>
      </c>
      <c r="N83" s="98">
        <f t="shared" si="2"/>
        <v>251</v>
      </c>
      <c r="O83" s="98">
        <f t="shared" si="2"/>
        <v>302</v>
      </c>
      <c r="P83" s="98">
        <f t="shared" si="2"/>
        <v>293</v>
      </c>
      <c r="Q83" s="98">
        <f t="shared" si="2"/>
        <v>307</v>
      </c>
      <c r="R83" s="98">
        <f t="shared" si="2"/>
        <v>308</v>
      </c>
      <c r="S83" s="98">
        <f t="shared" si="2"/>
        <v>342</v>
      </c>
      <c r="T83" s="98">
        <f t="shared" si="2"/>
        <v>368</v>
      </c>
      <c r="U83" s="98">
        <f t="shared" si="2"/>
        <v>374</v>
      </c>
      <c r="V83" s="98">
        <f t="shared" si="2"/>
        <v>387</v>
      </c>
      <c r="W83" s="98">
        <f t="shared" si="2"/>
        <v>407</v>
      </c>
      <c r="X83" s="98">
        <f t="shared" si="2"/>
        <v>390</v>
      </c>
      <c r="Y83" s="98">
        <f t="shared" si="1"/>
        <v>420</v>
      </c>
      <c r="Z83" s="98">
        <f t="shared" si="1"/>
        <v>410</v>
      </c>
      <c r="AA83" s="98">
        <f t="shared" si="1"/>
        <v>403</v>
      </c>
      <c r="AB83" s="98">
        <f t="shared" si="1"/>
        <v>416</v>
      </c>
      <c r="AC83" s="98">
        <f t="shared" si="1"/>
        <v>368</v>
      </c>
      <c r="AD83" s="98">
        <f t="shared" si="1"/>
        <v>437</v>
      </c>
      <c r="AE83" s="98">
        <f t="shared" si="1"/>
        <v>450</v>
      </c>
      <c r="AF83" s="98">
        <f t="shared" si="1"/>
        <v>405</v>
      </c>
      <c r="AG83" s="98">
        <f t="shared" si="1"/>
        <v>463</v>
      </c>
    </row>
    <row r="84" spans="2:33" ht="12.75">
      <c r="B84" s="99" t="s">
        <v>17</v>
      </c>
      <c r="C84" s="98">
        <f t="shared" si="2"/>
        <v>0</v>
      </c>
      <c r="D84" s="98">
        <f t="shared" si="2"/>
        <v>0</v>
      </c>
      <c r="E84" s="98">
        <f t="shared" si="2"/>
        <v>0</v>
      </c>
      <c r="F84" s="98">
        <f t="shared" si="2"/>
        <v>0</v>
      </c>
      <c r="G84" s="98">
        <f t="shared" si="2"/>
        <v>0</v>
      </c>
      <c r="H84" s="98">
        <f t="shared" si="2"/>
        <v>0</v>
      </c>
      <c r="I84" s="98">
        <f t="shared" si="2"/>
        <v>0</v>
      </c>
      <c r="J84" s="98">
        <f t="shared" si="2"/>
        <v>0</v>
      </c>
      <c r="K84" s="98">
        <f t="shared" si="2"/>
        <v>0</v>
      </c>
      <c r="L84" s="98">
        <f t="shared" si="2"/>
        <v>0</v>
      </c>
      <c r="M84" s="98">
        <f t="shared" si="2"/>
        <v>0</v>
      </c>
      <c r="N84" s="98">
        <f t="shared" si="2"/>
        <v>0</v>
      </c>
      <c r="O84" s="98">
        <f t="shared" si="2"/>
        <v>0</v>
      </c>
      <c r="P84" s="98">
        <f t="shared" si="2"/>
        <v>0</v>
      </c>
      <c r="Q84" s="98">
        <f t="shared" si="2"/>
        <v>0</v>
      </c>
      <c r="R84" s="98">
        <f t="shared" si="2"/>
        <v>0</v>
      </c>
      <c r="S84" s="98">
        <f t="shared" si="2"/>
        <v>0</v>
      </c>
      <c r="T84" s="98">
        <f t="shared" si="2"/>
        <v>0</v>
      </c>
      <c r="U84" s="98">
        <f t="shared" si="2"/>
        <v>4</v>
      </c>
      <c r="V84" s="98">
        <f t="shared" si="2"/>
        <v>11</v>
      </c>
      <c r="W84" s="98">
        <f t="shared" si="2"/>
        <v>24</v>
      </c>
      <c r="X84" s="98">
        <f t="shared" si="2"/>
        <v>34</v>
      </c>
      <c r="Y84" s="98">
        <f t="shared" si="1"/>
        <v>52</v>
      </c>
      <c r="Z84" s="98">
        <f t="shared" si="1"/>
        <v>56</v>
      </c>
      <c r="AA84" s="98">
        <f t="shared" si="1"/>
        <v>73</v>
      </c>
      <c r="AB84" s="98">
        <f t="shared" si="1"/>
        <v>66</v>
      </c>
      <c r="AC84" s="98">
        <f t="shared" si="1"/>
        <v>84</v>
      </c>
      <c r="AD84" s="98">
        <f t="shared" si="1"/>
        <v>104</v>
      </c>
      <c r="AE84" s="98">
        <f t="shared" si="1"/>
        <v>106</v>
      </c>
      <c r="AF84" s="98">
        <f t="shared" si="1"/>
        <v>116</v>
      </c>
      <c r="AG84" s="98">
        <f t="shared" si="1"/>
        <v>133</v>
      </c>
    </row>
    <row r="85" spans="2:33" ht="12.75">
      <c r="B85" s="99" t="s">
        <v>18</v>
      </c>
      <c r="C85" s="98">
        <f t="shared" si="2"/>
        <v>0</v>
      </c>
      <c r="D85" s="98">
        <f t="shared" si="2"/>
        <v>0</v>
      </c>
      <c r="E85" s="98">
        <f t="shared" si="2"/>
        <v>0</v>
      </c>
      <c r="F85" s="98">
        <f t="shared" si="2"/>
        <v>0</v>
      </c>
      <c r="G85" s="98">
        <f t="shared" si="2"/>
        <v>0</v>
      </c>
      <c r="H85" s="98">
        <f t="shared" si="2"/>
        <v>0</v>
      </c>
      <c r="I85" s="98">
        <f t="shared" si="2"/>
        <v>0</v>
      </c>
      <c r="J85" s="98">
        <f t="shared" si="2"/>
        <v>0</v>
      </c>
      <c r="K85" s="98">
        <f t="shared" si="2"/>
        <v>0</v>
      </c>
      <c r="L85" s="98">
        <f t="shared" si="2"/>
        <v>0</v>
      </c>
      <c r="M85" s="98">
        <f t="shared" si="2"/>
        <v>0</v>
      </c>
      <c r="N85" s="98">
        <f t="shared" si="2"/>
        <v>0</v>
      </c>
      <c r="O85" s="98">
        <f t="shared" si="2"/>
        <v>0</v>
      </c>
      <c r="P85" s="98">
        <f aca="true" t="shared" si="3" ref="D85:AG94">IF(ISERROR(P54),0,P54)</f>
        <v>0</v>
      </c>
      <c r="Q85" s="98">
        <f t="shared" si="3"/>
        <v>0</v>
      </c>
      <c r="R85" s="98">
        <f t="shared" si="3"/>
        <v>0</v>
      </c>
      <c r="S85" s="98">
        <f t="shared" si="3"/>
        <v>0</v>
      </c>
      <c r="T85" s="98">
        <f t="shared" si="3"/>
        <v>0</v>
      </c>
      <c r="U85" s="98">
        <f t="shared" si="3"/>
        <v>2</v>
      </c>
      <c r="V85" s="98">
        <f t="shared" si="3"/>
        <v>8</v>
      </c>
      <c r="W85" s="98">
        <f t="shared" si="3"/>
        <v>16</v>
      </c>
      <c r="X85" s="98">
        <f t="shared" si="3"/>
        <v>20</v>
      </c>
      <c r="Y85" s="98">
        <f t="shared" si="1"/>
        <v>36</v>
      </c>
      <c r="Z85" s="98">
        <f t="shared" si="1"/>
        <v>41</v>
      </c>
      <c r="AA85" s="98">
        <f t="shared" si="1"/>
        <v>47</v>
      </c>
      <c r="AB85" s="98">
        <f t="shared" si="1"/>
        <v>57</v>
      </c>
      <c r="AC85" s="98">
        <f t="shared" si="1"/>
        <v>51</v>
      </c>
      <c r="AD85" s="98">
        <f t="shared" si="1"/>
        <v>77</v>
      </c>
      <c r="AE85" s="98">
        <f t="shared" si="1"/>
        <v>67</v>
      </c>
      <c r="AF85" s="98">
        <f t="shared" si="1"/>
        <v>61</v>
      </c>
      <c r="AG85" s="98">
        <f t="shared" si="1"/>
        <v>77</v>
      </c>
    </row>
    <row r="86" spans="2:33" ht="12.75">
      <c r="B86" s="99" t="s">
        <v>19</v>
      </c>
      <c r="C86" s="98">
        <f aca="true" t="shared" si="4" ref="C86:C94">IF(ISERROR(C55),0,C55)</f>
        <v>22</v>
      </c>
      <c r="D86" s="98">
        <f t="shared" si="3"/>
        <v>31</v>
      </c>
      <c r="E86" s="98">
        <f t="shared" si="3"/>
        <v>25</v>
      </c>
      <c r="F86" s="98">
        <f t="shared" si="3"/>
        <v>18</v>
      </c>
      <c r="G86" s="98">
        <f t="shared" si="3"/>
        <v>19</v>
      </c>
      <c r="H86" s="98">
        <f t="shared" si="3"/>
        <v>22</v>
      </c>
      <c r="I86" s="98">
        <f t="shared" si="3"/>
        <v>16</v>
      </c>
      <c r="J86" s="98">
        <f t="shared" si="3"/>
        <v>17</v>
      </c>
      <c r="K86" s="98">
        <f t="shared" si="3"/>
        <v>19</v>
      </c>
      <c r="L86" s="98">
        <f t="shared" si="3"/>
        <v>17</v>
      </c>
      <c r="M86" s="98">
        <f t="shared" si="3"/>
        <v>21</v>
      </c>
      <c r="N86" s="98">
        <f t="shared" si="3"/>
        <v>22</v>
      </c>
      <c r="O86" s="98">
        <f t="shared" si="3"/>
        <v>24</v>
      </c>
      <c r="P86" s="98">
        <f t="shared" si="3"/>
        <v>27</v>
      </c>
      <c r="Q86" s="98">
        <f t="shared" si="3"/>
        <v>28</v>
      </c>
      <c r="R86" s="98">
        <f t="shared" si="3"/>
        <v>25</v>
      </c>
      <c r="S86" s="98">
        <f t="shared" si="3"/>
        <v>25</v>
      </c>
      <c r="T86" s="98">
        <f t="shared" si="3"/>
        <v>26</v>
      </c>
      <c r="U86" s="98">
        <f t="shared" si="3"/>
        <v>18</v>
      </c>
      <c r="V86" s="98">
        <f t="shared" si="3"/>
        <v>16</v>
      </c>
      <c r="W86" s="98">
        <f t="shared" si="3"/>
        <v>17</v>
      </c>
      <c r="X86" s="98">
        <f t="shared" si="3"/>
        <v>18</v>
      </c>
      <c r="Y86" s="98">
        <f t="shared" si="1"/>
        <v>23</v>
      </c>
      <c r="Z86" s="98">
        <f t="shared" si="1"/>
        <v>20</v>
      </c>
      <c r="AA86" s="98">
        <f t="shared" si="1"/>
        <v>23</v>
      </c>
      <c r="AB86" s="98">
        <f t="shared" si="1"/>
        <v>14</v>
      </c>
      <c r="AC86" s="98">
        <f t="shared" si="1"/>
        <v>13</v>
      </c>
      <c r="AD86" s="98">
        <f t="shared" si="1"/>
        <v>15</v>
      </c>
      <c r="AE86" s="98">
        <f t="shared" si="1"/>
        <v>19</v>
      </c>
      <c r="AF86" s="98">
        <f t="shared" si="1"/>
        <v>12</v>
      </c>
      <c r="AG86" s="98">
        <f t="shared" si="1"/>
        <v>17</v>
      </c>
    </row>
    <row r="87" spans="2:33" ht="12.75">
      <c r="B87" s="99" t="s">
        <v>20</v>
      </c>
      <c r="C87" s="98">
        <f t="shared" si="4"/>
        <v>101</v>
      </c>
      <c r="D87" s="98">
        <f t="shared" si="3"/>
        <v>97</v>
      </c>
      <c r="E87" s="98">
        <f t="shared" si="3"/>
        <v>99</v>
      </c>
      <c r="F87" s="98">
        <f t="shared" si="3"/>
        <v>97</v>
      </c>
      <c r="G87" s="98">
        <f t="shared" si="3"/>
        <v>100</v>
      </c>
      <c r="H87" s="98">
        <f t="shared" si="3"/>
        <v>115</v>
      </c>
      <c r="I87" s="98">
        <f t="shared" si="3"/>
        <v>101</v>
      </c>
      <c r="J87" s="98">
        <f t="shared" si="3"/>
        <v>82</v>
      </c>
      <c r="K87" s="98">
        <f t="shared" si="3"/>
        <v>118</v>
      </c>
      <c r="L87" s="98">
        <f t="shared" si="3"/>
        <v>111</v>
      </c>
      <c r="M87" s="98">
        <f t="shared" si="3"/>
        <v>110</v>
      </c>
      <c r="N87" s="98">
        <f t="shared" si="3"/>
        <v>114</v>
      </c>
      <c r="O87" s="98">
        <f t="shared" si="3"/>
        <v>127</v>
      </c>
      <c r="P87" s="98">
        <f t="shared" si="3"/>
        <v>108</v>
      </c>
      <c r="Q87" s="98">
        <f t="shared" si="3"/>
        <v>109</v>
      </c>
      <c r="R87" s="98">
        <f t="shared" si="3"/>
        <v>120</v>
      </c>
      <c r="S87" s="98">
        <f t="shared" si="3"/>
        <v>113</v>
      </c>
      <c r="T87" s="98">
        <f t="shared" si="3"/>
        <v>97</v>
      </c>
      <c r="U87" s="98">
        <f t="shared" si="3"/>
        <v>114</v>
      </c>
      <c r="V87" s="98">
        <f t="shared" si="3"/>
        <v>93</v>
      </c>
      <c r="W87" s="98">
        <f t="shared" si="3"/>
        <v>113</v>
      </c>
      <c r="X87" s="98">
        <f t="shared" si="3"/>
        <v>88</v>
      </c>
      <c r="Y87" s="98">
        <f t="shared" si="1"/>
        <v>99</v>
      </c>
      <c r="Z87" s="98">
        <f t="shared" si="1"/>
        <v>96</v>
      </c>
      <c r="AA87" s="98">
        <f t="shared" si="1"/>
        <v>100</v>
      </c>
      <c r="AB87" s="98">
        <f t="shared" si="1"/>
        <v>96</v>
      </c>
      <c r="AC87" s="98">
        <f t="shared" si="1"/>
        <v>98</v>
      </c>
      <c r="AD87" s="98">
        <f t="shared" si="1"/>
        <v>96</v>
      </c>
      <c r="AE87" s="98">
        <f t="shared" si="1"/>
        <v>84</v>
      </c>
      <c r="AF87" s="98">
        <f t="shared" si="1"/>
        <v>78</v>
      </c>
      <c r="AG87" s="98">
        <f t="shared" si="1"/>
        <v>102</v>
      </c>
    </row>
    <row r="88" spans="2:33" ht="12.75">
      <c r="B88" s="99" t="s">
        <v>21</v>
      </c>
      <c r="C88" s="98">
        <f t="shared" si="4"/>
        <v>32</v>
      </c>
      <c r="D88" s="98">
        <f t="shared" si="3"/>
        <v>28</v>
      </c>
      <c r="E88" s="98">
        <f t="shared" si="3"/>
        <v>36</v>
      </c>
      <c r="F88" s="98">
        <f t="shared" si="3"/>
        <v>28</v>
      </c>
      <c r="G88" s="98">
        <f t="shared" si="3"/>
        <v>35</v>
      </c>
      <c r="H88" s="98">
        <f t="shared" si="3"/>
        <v>35</v>
      </c>
      <c r="I88" s="98">
        <f t="shared" si="3"/>
        <v>32</v>
      </c>
      <c r="J88" s="98">
        <f t="shared" si="3"/>
        <v>35</v>
      </c>
      <c r="K88" s="98">
        <f t="shared" si="3"/>
        <v>37</v>
      </c>
      <c r="L88" s="98">
        <f t="shared" si="3"/>
        <v>38</v>
      </c>
      <c r="M88" s="98">
        <f t="shared" si="3"/>
        <v>41</v>
      </c>
      <c r="N88" s="98">
        <f t="shared" si="3"/>
        <v>42</v>
      </c>
      <c r="O88" s="98">
        <f t="shared" si="3"/>
        <v>34</v>
      </c>
      <c r="P88" s="98">
        <f t="shared" si="3"/>
        <v>41</v>
      </c>
      <c r="Q88" s="98">
        <f t="shared" si="3"/>
        <v>35</v>
      </c>
      <c r="R88" s="98">
        <f t="shared" si="3"/>
        <v>34</v>
      </c>
      <c r="S88" s="98">
        <f t="shared" si="3"/>
        <v>44</v>
      </c>
      <c r="T88" s="98">
        <f t="shared" si="3"/>
        <v>33</v>
      </c>
      <c r="U88" s="98">
        <f t="shared" si="3"/>
        <v>37</v>
      </c>
      <c r="V88" s="98">
        <f t="shared" si="3"/>
        <v>36</v>
      </c>
      <c r="W88" s="98">
        <f t="shared" si="3"/>
        <v>39</v>
      </c>
      <c r="X88" s="98">
        <f t="shared" si="3"/>
        <v>30</v>
      </c>
      <c r="Y88" s="98">
        <f t="shared" si="1"/>
        <v>35</v>
      </c>
      <c r="Z88" s="98">
        <f t="shared" si="1"/>
        <v>33</v>
      </c>
      <c r="AA88" s="98">
        <f t="shared" si="1"/>
        <v>32</v>
      </c>
      <c r="AB88" s="98">
        <f t="shared" si="1"/>
        <v>39</v>
      </c>
      <c r="AC88" s="98">
        <f t="shared" si="1"/>
        <v>34</v>
      </c>
      <c r="AD88" s="98">
        <f t="shared" si="1"/>
        <v>36</v>
      </c>
      <c r="AE88" s="98">
        <f t="shared" si="1"/>
        <v>32</v>
      </c>
      <c r="AF88" s="98">
        <f t="shared" si="1"/>
        <v>30</v>
      </c>
      <c r="AG88" s="98">
        <f t="shared" si="1"/>
        <v>34</v>
      </c>
    </row>
    <row r="89" spans="2:33" ht="12.75">
      <c r="B89" s="99" t="s">
        <v>22</v>
      </c>
      <c r="C89" s="98">
        <f t="shared" si="4"/>
        <v>17</v>
      </c>
      <c r="D89" s="98">
        <f t="shared" si="3"/>
        <v>15</v>
      </c>
      <c r="E89" s="98">
        <f t="shared" si="3"/>
        <v>16</v>
      </c>
      <c r="F89" s="98">
        <f t="shared" si="3"/>
        <v>10</v>
      </c>
      <c r="G89" s="98">
        <f t="shared" si="3"/>
        <v>14</v>
      </c>
      <c r="H89" s="98">
        <f t="shared" si="3"/>
        <v>12</v>
      </c>
      <c r="I89" s="98">
        <f t="shared" si="3"/>
        <v>10</v>
      </c>
      <c r="J89" s="98">
        <f t="shared" si="3"/>
        <v>9</v>
      </c>
      <c r="K89" s="98">
        <f t="shared" si="3"/>
        <v>19</v>
      </c>
      <c r="L89" s="98">
        <f t="shared" si="3"/>
        <v>16</v>
      </c>
      <c r="M89" s="98">
        <f t="shared" si="3"/>
        <v>16</v>
      </c>
      <c r="N89" s="98">
        <f t="shared" si="3"/>
        <v>16</v>
      </c>
      <c r="O89" s="98">
        <f t="shared" si="3"/>
        <v>18</v>
      </c>
      <c r="P89" s="98">
        <f t="shared" si="3"/>
        <v>15</v>
      </c>
      <c r="Q89" s="98">
        <f t="shared" si="3"/>
        <v>15</v>
      </c>
      <c r="R89" s="98">
        <f t="shared" si="3"/>
        <v>13</v>
      </c>
      <c r="S89" s="98">
        <f t="shared" si="3"/>
        <v>16</v>
      </c>
      <c r="T89" s="98">
        <f t="shared" si="3"/>
        <v>13</v>
      </c>
      <c r="U89" s="98">
        <f t="shared" si="3"/>
        <v>18</v>
      </c>
      <c r="V89" s="98">
        <f t="shared" si="3"/>
        <v>10</v>
      </c>
      <c r="W89" s="98">
        <f t="shared" si="3"/>
        <v>17</v>
      </c>
      <c r="X89" s="98">
        <f t="shared" si="3"/>
        <v>9</v>
      </c>
      <c r="Y89" s="98">
        <f t="shared" si="3"/>
        <v>12</v>
      </c>
      <c r="Z89" s="98">
        <f t="shared" si="3"/>
        <v>13</v>
      </c>
      <c r="AA89" s="98">
        <f t="shared" si="3"/>
        <v>10</v>
      </c>
      <c r="AB89" s="98">
        <f t="shared" si="3"/>
        <v>9</v>
      </c>
      <c r="AC89" s="98">
        <f t="shared" si="3"/>
        <v>7</v>
      </c>
      <c r="AD89" s="98">
        <f t="shared" si="3"/>
        <v>8</v>
      </c>
      <c r="AE89" s="98">
        <f t="shared" si="3"/>
        <v>8</v>
      </c>
      <c r="AF89" s="98">
        <f t="shared" si="3"/>
        <v>6</v>
      </c>
      <c r="AG89" s="98">
        <f t="shared" si="3"/>
        <v>13</v>
      </c>
    </row>
    <row r="90" spans="2:33" ht="12.75">
      <c r="B90" s="99" t="s">
        <v>23</v>
      </c>
      <c r="C90" s="98">
        <f t="shared" si="4"/>
        <v>0</v>
      </c>
      <c r="D90" s="98">
        <f t="shared" si="3"/>
        <v>0</v>
      </c>
      <c r="E90" s="98">
        <f t="shared" si="3"/>
        <v>0</v>
      </c>
      <c r="F90" s="98">
        <f t="shared" si="3"/>
        <v>0</v>
      </c>
      <c r="G90" s="98">
        <f t="shared" si="3"/>
        <v>0</v>
      </c>
      <c r="H90" s="98">
        <f t="shared" si="3"/>
        <v>0</v>
      </c>
      <c r="I90" s="98">
        <f t="shared" si="3"/>
        <v>0</v>
      </c>
      <c r="J90" s="98">
        <f t="shared" si="3"/>
        <v>0</v>
      </c>
      <c r="K90" s="98">
        <f t="shared" si="3"/>
        <v>0</v>
      </c>
      <c r="L90" s="98">
        <f t="shared" si="3"/>
        <v>0</v>
      </c>
      <c r="M90" s="98">
        <f t="shared" si="3"/>
        <v>0</v>
      </c>
      <c r="N90" s="98">
        <f t="shared" si="3"/>
        <v>0</v>
      </c>
      <c r="O90" s="98">
        <f t="shared" si="3"/>
        <v>0</v>
      </c>
      <c r="P90" s="98">
        <f t="shared" si="3"/>
        <v>0</v>
      </c>
      <c r="Q90" s="98">
        <f t="shared" si="3"/>
        <v>0</v>
      </c>
      <c r="R90" s="98">
        <f t="shared" si="3"/>
        <v>0</v>
      </c>
      <c r="S90" s="98">
        <f t="shared" si="3"/>
        <v>0</v>
      </c>
      <c r="T90" s="98">
        <f t="shared" si="3"/>
        <v>0</v>
      </c>
      <c r="U90" s="98">
        <f t="shared" si="3"/>
        <v>0</v>
      </c>
      <c r="V90" s="98">
        <f t="shared" si="3"/>
        <v>0</v>
      </c>
      <c r="W90" s="98">
        <f t="shared" si="3"/>
        <v>18</v>
      </c>
      <c r="X90" s="98">
        <f t="shared" si="3"/>
        <v>85</v>
      </c>
      <c r="Y90" s="98">
        <f t="shared" si="3"/>
        <v>143</v>
      </c>
      <c r="Z90" s="98">
        <f t="shared" si="3"/>
        <v>211</v>
      </c>
      <c r="AA90" s="98">
        <f t="shared" si="3"/>
        <v>265</v>
      </c>
      <c r="AB90" s="98">
        <f t="shared" si="3"/>
        <v>312</v>
      </c>
      <c r="AC90" s="98">
        <f t="shared" si="3"/>
        <v>262</v>
      </c>
      <c r="AD90" s="98">
        <f t="shared" si="3"/>
        <v>344</v>
      </c>
      <c r="AE90" s="98">
        <f t="shared" si="3"/>
        <v>374</v>
      </c>
      <c r="AF90" s="98">
        <f t="shared" si="3"/>
        <v>316</v>
      </c>
      <c r="AG90" s="98">
        <f t="shared" si="3"/>
        <v>412</v>
      </c>
    </row>
    <row r="91" spans="2:33" ht="12.75">
      <c r="B91" s="99" t="s">
        <v>24</v>
      </c>
      <c r="C91" s="98">
        <f t="shared" si="4"/>
        <v>998</v>
      </c>
      <c r="D91" s="98">
        <f t="shared" si="3"/>
        <v>924</v>
      </c>
      <c r="E91" s="98">
        <f t="shared" si="3"/>
        <v>997</v>
      </c>
      <c r="F91" s="98">
        <f t="shared" si="3"/>
        <v>1004</v>
      </c>
      <c r="G91" s="98">
        <f t="shared" si="3"/>
        <v>1059</v>
      </c>
      <c r="H91" s="98">
        <f t="shared" si="3"/>
        <v>1038</v>
      </c>
      <c r="I91" s="98">
        <f t="shared" si="3"/>
        <v>1046</v>
      </c>
      <c r="J91" s="98">
        <f t="shared" si="3"/>
        <v>898</v>
      </c>
      <c r="K91" s="98">
        <f t="shared" si="3"/>
        <v>1190</v>
      </c>
      <c r="L91" s="98">
        <f t="shared" si="3"/>
        <v>1043</v>
      </c>
      <c r="M91" s="98">
        <f t="shared" si="3"/>
        <v>1082</v>
      </c>
      <c r="N91" s="98">
        <f t="shared" si="3"/>
        <v>1057</v>
      </c>
      <c r="O91" s="98">
        <f t="shared" si="3"/>
        <v>1027</v>
      </c>
      <c r="P91" s="98">
        <f t="shared" si="3"/>
        <v>1041</v>
      </c>
      <c r="Q91" s="98">
        <f t="shared" si="3"/>
        <v>1012</v>
      </c>
      <c r="R91" s="98">
        <f t="shared" si="3"/>
        <v>1023</v>
      </c>
      <c r="S91" s="98">
        <f t="shared" si="3"/>
        <v>1065</v>
      </c>
      <c r="T91" s="98">
        <f t="shared" si="3"/>
        <v>1051</v>
      </c>
      <c r="U91" s="98">
        <f t="shared" si="3"/>
        <v>1028</v>
      </c>
      <c r="V91" s="98">
        <f t="shared" si="3"/>
        <v>968</v>
      </c>
      <c r="W91" s="98">
        <f t="shared" si="3"/>
        <v>1097</v>
      </c>
      <c r="X91" s="98">
        <f t="shared" si="3"/>
        <v>928</v>
      </c>
      <c r="Y91" s="98">
        <f t="shared" si="3"/>
        <v>998</v>
      </c>
      <c r="Z91" s="98">
        <f t="shared" si="3"/>
        <v>954</v>
      </c>
      <c r="AA91" s="98">
        <f t="shared" si="3"/>
        <v>798</v>
      </c>
      <c r="AB91" s="98">
        <f t="shared" si="3"/>
        <v>800</v>
      </c>
      <c r="AC91" s="98">
        <f t="shared" si="3"/>
        <v>755</v>
      </c>
      <c r="AD91" s="98">
        <f t="shared" si="3"/>
        <v>774</v>
      </c>
      <c r="AE91" s="98">
        <f t="shared" si="3"/>
        <v>699</v>
      </c>
      <c r="AF91" s="98">
        <f t="shared" si="3"/>
        <v>658</v>
      </c>
      <c r="AG91" s="98">
        <f t="shared" si="3"/>
        <v>716</v>
      </c>
    </row>
    <row r="92" spans="2:33" ht="12.75">
      <c r="B92" s="99" t="s">
        <v>25</v>
      </c>
      <c r="C92" s="98">
        <f t="shared" si="4"/>
        <v>705</v>
      </c>
      <c r="D92" s="98">
        <f t="shared" si="3"/>
        <v>635</v>
      </c>
      <c r="E92" s="98">
        <f t="shared" si="3"/>
        <v>675</v>
      </c>
      <c r="F92" s="98">
        <f t="shared" si="3"/>
        <v>650</v>
      </c>
      <c r="G92" s="98">
        <f t="shared" si="3"/>
        <v>704</v>
      </c>
      <c r="H92" s="98">
        <f t="shared" si="3"/>
        <v>687</v>
      </c>
      <c r="I92" s="98">
        <f t="shared" si="3"/>
        <v>654</v>
      </c>
      <c r="J92" s="98">
        <f t="shared" si="3"/>
        <v>614</v>
      </c>
      <c r="K92" s="98">
        <f t="shared" si="3"/>
        <v>816</v>
      </c>
      <c r="L92" s="98">
        <f t="shared" si="3"/>
        <v>664</v>
      </c>
      <c r="M92" s="98">
        <f t="shared" si="3"/>
        <v>739</v>
      </c>
      <c r="N92" s="98">
        <f t="shared" si="3"/>
        <v>667</v>
      </c>
      <c r="O92" s="98">
        <f t="shared" si="3"/>
        <v>685</v>
      </c>
      <c r="P92" s="98">
        <f t="shared" si="3"/>
        <v>655</v>
      </c>
      <c r="Q92" s="98">
        <f t="shared" si="3"/>
        <v>691</v>
      </c>
      <c r="R92" s="98">
        <f t="shared" si="3"/>
        <v>683</v>
      </c>
      <c r="S92" s="98">
        <f t="shared" si="3"/>
        <v>670</v>
      </c>
      <c r="T92" s="98">
        <f t="shared" si="3"/>
        <v>698</v>
      </c>
      <c r="U92" s="98">
        <f t="shared" si="3"/>
        <v>674</v>
      </c>
      <c r="V92" s="98">
        <f t="shared" si="3"/>
        <v>639</v>
      </c>
      <c r="W92" s="98">
        <f t="shared" si="3"/>
        <v>730</v>
      </c>
      <c r="X92" s="98">
        <f t="shared" si="3"/>
        <v>612</v>
      </c>
      <c r="Y92" s="98">
        <f t="shared" si="3"/>
        <v>706</v>
      </c>
      <c r="Z92" s="98">
        <f t="shared" si="3"/>
        <v>687</v>
      </c>
      <c r="AA92" s="98">
        <f t="shared" si="3"/>
        <v>590</v>
      </c>
      <c r="AB92" s="98">
        <f t="shared" si="3"/>
        <v>622</v>
      </c>
      <c r="AC92" s="98">
        <f t="shared" si="3"/>
        <v>598</v>
      </c>
      <c r="AD92" s="98">
        <f t="shared" si="3"/>
        <v>607</v>
      </c>
      <c r="AE92" s="98">
        <f t="shared" si="3"/>
        <v>608</v>
      </c>
      <c r="AF92" s="98">
        <f t="shared" si="3"/>
        <v>577</v>
      </c>
      <c r="AG92" s="98">
        <f t="shared" si="3"/>
        <v>651</v>
      </c>
    </row>
    <row r="93" spans="2:33" ht="12.75">
      <c r="B93" s="99" t="s">
        <v>26</v>
      </c>
      <c r="C93" s="98">
        <f t="shared" si="4"/>
        <v>210</v>
      </c>
      <c r="D93" s="98">
        <f t="shared" si="3"/>
        <v>184</v>
      </c>
      <c r="E93" s="98">
        <f t="shared" si="3"/>
        <v>199</v>
      </c>
      <c r="F93" s="98">
        <f t="shared" si="3"/>
        <v>182</v>
      </c>
      <c r="G93" s="98">
        <f t="shared" si="3"/>
        <v>211</v>
      </c>
      <c r="H93" s="98">
        <f t="shared" si="3"/>
        <v>202</v>
      </c>
      <c r="I93" s="98">
        <f t="shared" si="3"/>
        <v>208</v>
      </c>
      <c r="J93" s="98">
        <f t="shared" si="3"/>
        <v>177</v>
      </c>
      <c r="K93" s="98">
        <f t="shared" si="3"/>
        <v>234</v>
      </c>
      <c r="L93" s="98">
        <f t="shared" si="3"/>
        <v>189</v>
      </c>
      <c r="M93" s="98">
        <f t="shared" si="3"/>
        <v>202</v>
      </c>
      <c r="N93" s="98">
        <f t="shared" si="3"/>
        <v>194</v>
      </c>
      <c r="O93" s="98">
        <f t="shared" si="3"/>
        <v>195</v>
      </c>
      <c r="P93" s="98">
        <f t="shared" si="3"/>
        <v>216</v>
      </c>
      <c r="Q93" s="98">
        <f t="shared" si="3"/>
        <v>197</v>
      </c>
      <c r="R93" s="98">
        <f t="shared" si="3"/>
        <v>175</v>
      </c>
      <c r="S93" s="98">
        <f t="shared" si="3"/>
        <v>202</v>
      </c>
      <c r="T93" s="98">
        <f t="shared" si="3"/>
        <v>185</v>
      </c>
      <c r="U93" s="98">
        <f t="shared" si="3"/>
        <v>183</v>
      </c>
      <c r="V93" s="98">
        <f t="shared" si="3"/>
        <v>177</v>
      </c>
      <c r="W93" s="98">
        <f t="shared" si="3"/>
        <v>197</v>
      </c>
      <c r="X93" s="98">
        <f t="shared" si="3"/>
        <v>161</v>
      </c>
      <c r="Y93" s="98">
        <f t="shared" si="3"/>
        <v>188</v>
      </c>
      <c r="Z93" s="98">
        <f t="shared" si="3"/>
        <v>161</v>
      </c>
      <c r="AA93" s="98">
        <f t="shared" si="3"/>
        <v>167</v>
      </c>
      <c r="AB93" s="98">
        <f t="shared" si="3"/>
        <v>160</v>
      </c>
      <c r="AC93" s="98">
        <f t="shared" si="3"/>
        <v>156</v>
      </c>
      <c r="AD93" s="98">
        <f t="shared" si="3"/>
        <v>175</v>
      </c>
      <c r="AE93" s="98">
        <f t="shared" si="3"/>
        <v>146</v>
      </c>
      <c r="AF93" s="98">
        <f t="shared" si="3"/>
        <v>156</v>
      </c>
      <c r="AG93" s="98">
        <f t="shared" si="3"/>
        <v>155</v>
      </c>
    </row>
    <row r="94" spans="2:33" ht="12.75">
      <c r="B94" s="99" t="s">
        <v>71</v>
      </c>
      <c r="C94" s="98">
        <f t="shared" si="4"/>
        <v>0</v>
      </c>
      <c r="D94" s="98">
        <f t="shared" si="3"/>
        <v>0</v>
      </c>
      <c r="E94" s="98">
        <f t="shared" si="3"/>
        <v>0</v>
      </c>
      <c r="F94" s="98">
        <f t="shared" si="3"/>
        <v>0</v>
      </c>
      <c r="G94" s="98">
        <f t="shared" si="3"/>
        <v>0</v>
      </c>
      <c r="H94" s="98">
        <f t="shared" si="3"/>
        <v>0</v>
      </c>
      <c r="I94" s="98">
        <f t="shared" si="3"/>
        <v>0</v>
      </c>
      <c r="J94" s="98">
        <f t="shared" si="3"/>
        <v>0</v>
      </c>
      <c r="K94" s="98">
        <f t="shared" si="3"/>
        <v>0</v>
      </c>
      <c r="L94" s="98">
        <f t="shared" si="3"/>
        <v>0</v>
      </c>
      <c r="M94" s="98">
        <f t="shared" si="3"/>
        <v>0</v>
      </c>
      <c r="N94" s="98">
        <f t="shared" si="3"/>
        <v>0</v>
      </c>
      <c r="O94" s="98">
        <f t="shared" si="3"/>
        <v>0</v>
      </c>
      <c r="P94" s="98">
        <f t="shared" si="3"/>
        <v>0</v>
      </c>
      <c r="Q94" s="98">
        <f t="shared" si="3"/>
        <v>0</v>
      </c>
      <c r="R94" s="98">
        <f t="shared" si="3"/>
        <v>0</v>
      </c>
      <c r="S94" s="98">
        <f t="shared" si="3"/>
        <v>0</v>
      </c>
      <c r="T94" s="98">
        <f t="shared" si="3"/>
        <v>0</v>
      </c>
      <c r="U94" s="98">
        <f t="shared" si="3"/>
        <v>0</v>
      </c>
      <c r="V94" s="98">
        <f t="shared" si="3"/>
        <v>0</v>
      </c>
      <c r="W94" s="98">
        <f t="shared" si="3"/>
        <v>0</v>
      </c>
      <c r="X94" s="98">
        <f t="shared" si="3"/>
        <v>0</v>
      </c>
      <c r="Y94" s="98">
        <f t="shared" si="3"/>
        <v>0</v>
      </c>
      <c r="Z94" s="98">
        <f t="shared" si="3"/>
        <v>0</v>
      </c>
      <c r="AA94" s="98">
        <f aca="true" t="shared" si="5" ref="AA94:AG94">IF(ISERROR(AA63),0,AA63)</f>
        <v>0</v>
      </c>
      <c r="AB94" s="98">
        <f t="shared" si="5"/>
        <v>0</v>
      </c>
      <c r="AC94" s="98">
        <f t="shared" si="5"/>
        <v>0</v>
      </c>
      <c r="AD94" s="98">
        <f t="shared" si="5"/>
        <v>0</v>
      </c>
      <c r="AE94" s="98">
        <f t="shared" si="5"/>
        <v>0</v>
      </c>
      <c r="AF94" s="98">
        <f t="shared" si="5"/>
        <v>0</v>
      </c>
      <c r="AG94" s="98">
        <f t="shared" si="5"/>
        <v>3</v>
      </c>
    </row>
    <row r="95" spans="2:31" ht="12.75">
      <c r="B95" s="82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</row>
    <row r="96" spans="2:33" ht="13.5" thickBot="1">
      <c r="B96" s="46" t="s">
        <v>0</v>
      </c>
      <c r="C96" s="47">
        <v>38169</v>
      </c>
      <c r="D96" s="47">
        <v>38200</v>
      </c>
      <c r="E96" s="47">
        <v>38231</v>
      </c>
      <c r="F96" s="47">
        <v>38261</v>
      </c>
      <c r="G96" s="47">
        <v>38292</v>
      </c>
      <c r="H96" s="47">
        <v>38322</v>
      </c>
      <c r="I96" s="47">
        <v>38353</v>
      </c>
      <c r="J96" s="47">
        <v>38384</v>
      </c>
      <c r="K96" s="47">
        <v>38412</v>
      </c>
      <c r="L96" s="47">
        <v>38443</v>
      </c>
      <c r="M96" s="47">
        <v>38473</v>
      </c>
      <c r="N96" s="47">
        <v>38504</v>
      </c>
      <c r="O96" s="47">
        <v>38534</v>
      </c>
      <c r="P96" s="47">
        <v>38565</v>
      </c>
      <c r="Q96" s="47">
        <v>38596</v>
      </c>
      <c r="R96" s="47">
        <v>38626</v>
      </c>
      <c r="S96" s="47">
        <v>38657</v>
      </c>
      <c r="T96" s="47">
        <v>38687</v>
      </c>
      <c r="U96" s="47">
        <v>38718</v>
      </c>
      <c r="V96" s="47">
        <v>38749</v>
      </c>
      <c r="W96" s="47">
        <v>38777</v>
      </c>
      <c r="X96" s="47">
        <v>38808</v>
      </c>
      <c r="Y96" s="47">
        <v>38838</v>
      </c>
      <c r="Z96" s="47">
        <v>38869</v>
      </c>
      <c r="AA96" s="47">
        <v>38899</v>
      </c>
      <c r="AB96" s="47">
        <v>38930</v>
      </c>
      <c r="AC96" s="47">
        <v>38961</v>
      </c>
      <c r="AD96" s="47">
        <v>38991</v>
      </c>
      <c r="AE96" s="47">
        <v>39022</v>
      </c>
      <c r="AF96" s="47">
        <v>39052</v>
      </c>
      <c r="AG96" s="47">
        <v>39083</v>
      </c>
    </row>
    <row r="97" spans="2:33" ht="13.5" thickTop="1">
      <c r="B97" s="40" t="s">
        <v>27</v>
      </c>
      <c r="C97" s="41">
        <f>SUM(C66:C68)</f>
        <v>1661</v>
      </c>
      <c r="D97" s="41">
        <f aca="true" t="shared" si="6" ref="D97:AG97">SUM(D66:D68)</f>
        <v>1569</v>
      </c>
      <c r="E97" s="41">
        <f t="shared" si="6"/>
        <v>1647</v>
      </c>
      <c r="F97" s="41">
        <f t="shared" si="6"/>
        <v>1609</v>
      </c>
      <c r="G97" s="41">
        <f t="shared" si="6"/>
        <v>1666</v>
      </c>
      <c r="H97" s="41">
        <f t="shared" si="6"/>
        <v>1696</v>
      </c>
      <c r="I97" s="41">
        <f t="shared" si="6"/>
        <v>1653</v>
      </c>
      <c r="J97" s="41">
        <f t="shared" si="6"/>
        <v>1441</v>
      </c>
      <c r="K97" s="41">
        <f t="shared" si="6"/>
        <v>1941</v>
      </c>
      <c r="L97" s="41">
        <f t="shared" si="6"/>
        <v>1646</v>
      </c>
      <c r="M97" s="41">
        <f t="shared" si="6"/>
        <v>1756</v>
      </c>
      <c r="N97" s="41">
        <f t="shared" si="6"/>
        <v>1742</v>
      </c>
      <c r="O97" s="41">
        <f t="shared" si="6"/>
        <v>1643</v>
      </c>
      <c r="P97" s="41">
        <f t="shared" si="6"/>
        <v>1771</v>
      </c>
      <c r="Q97" s="41">
        <f t="shared" si="6"/>
        <v>1730</v>
      </c>
      <c r="R97" s="41">
        <f t="shared" si="6"/>
        <v>1722</v>
      </c>
      <c r="S97" s="41">
        <f t="shared" si="6"/>
        <v>1797</v>
      </c>
      <c r="T97" s="41">
        <f t="shared" si="6"/>
        <v>1825</v>
      </c>
      <c r="U97" s="41">
        <f t="shared" si="6"/>
        <v>1722</v>
      </c>
      <c r="V97" s="41">
        <f t="shared" si="6"/>
        <v>1667</v>
      </c>
      <c r="W97" s="41">
        <f t="shared" si="6"/>
        <v>1848</v>
      </c>
      <c r="X97" s="41">
        <f t="shared" si="6"/>
        <v>1584</v>
      </c>
      <c r="Y97" s="41">
        <f t="shared" si="6"/>
        <v>1788</v>
      </c>
      <c r="Z97" s="41">
        <f t="shared" si="6"/>
        <v>1806</v>
      </c>
      <c r="AA97" s="41">
        <f t="shared" si="6"/>
        <v>1668</v>
      </c>
      <c r="AB97" s="41">
        <f t="shared" si="6"/>
        <v>1700</v>
      </c>
      <c r="AC97" s="41">
        <f t="shared" si="6"/>
        <v>1637</v>
      </c>
      <c r="AD97" s="41">
        <f t="shared" si="6"/>
        <v>1858</v>
      </c>
      <c r="AE97" s="41">
        <f t="shared" si="6"/>
        <v>1780</v>
      </c>
      <c r="AF97" s="41">
        <f t="shared" si="6"/>
        <v>1646</v>
      </c>
      <c r="AG97" s="41">
        <f t="shared" si="6"/>
        <v>1915</v>
      </c>
    </row>
    <row r="98" spans="2:33" ht="12.75">
      <c r="B98" s="33" t="s">
        <v>28</v>
      </c>
      <c r="C98" s="34">
        <f>SUM(C69:C71)</f>
        <v>2694</v>
      </c>
      <c r="D98" s="34">
        <f aca="true" t="shared" si="7" ref="D98:AG98">SUM(D69:D71)</f>
        <v>2437</v>
      </c>
      <c r="E98" s="34">
        <f t="shared" si="7"/>
        <v>2661</v>
      </c>
      <c r="F98" s="34">
        <f t="shared" si="7"/>
        <v>2629</v>
      </c>
      <c r="G98" s="34">
        <f t="shared" si="7"/>
        <v>2761</v>
      </c>
      <c r="H98" s="34">
        <f t="shared" si="7"/>
        <v>2757</v>
      </c>
      <c r="I98" s="34">
        <f t="shared" si="7"/>
        <v>2575</v>
      </c>
      <c r="J98" s="34">
        <f t="shared" si="7"/>
        <v>2321</v>
      </c>
      <c r="K98" s="34">
        <f t="shared" si="7"/>
        <v>3080</v>
      </c>
      <c r="L98" s="34">
        <f t="shared" si="7"/>
        <v>2617</v>
      </c>
      <c r="M98" s="34">
        <f t="shared" si="7"/>
        <v>2803</v>
      </c>
      <c r="N98" s="34">
        <f t="shared" si="7"/>
        <v>2702</v>
      </c>
      <c r="O98" s="34">
        <f t="shared" si="7"/>
        <v>2579</v>
      </c>
      <c r="P98" s="34">
        <f t="shared" si="7"/>
        <v>2615</v>
      </c>
      <c r="Q98" s="34">
        <f t="shared" si="7"/>
        <v>2715</v>
      </c>
      <c r="R98" s="34">
        <f t="shared" si="7"/>
        <v>2640</v>
      </c>
      <c r="S98" s="34">
        <f t="shared" si="7"/>
        <v>2623</v>
      </c>
      <c r="T98" s="34">
        <f t="shared" si="7"/>
        <v>2779</v>
      </c>
      <c r="U98" s="34">
        <f t="shared" si="7"/>
        <v>2584</v>
      </c>
      <c r="V98" s="34">
        <f t="shared" si="7"/>
        <v>2454</v>
      </c>
      <c r="W98" s="34">
        <f t="shared" si="7"/>
        <v>2773</v>
      </c>
      <c r="X98" s="34">
        <f t="shared" si="7"/>
        <v>2366</v>
      </c>
      <c r="Y98" s="34">
        <f t="shared" si="7"/>
        <v>2683</v>
      </c>
      <c r="Z98" s="34">
        <f t="shared" si="7"/>
        <v>2549</v>
      </c>
      <c r="AA98" s="34">
        <f t="shared" si="7"/>
        <v>2339</v>
      </c>
      <c r="AB98" s="34">
        <f t="shared" si="7"/>
        <v>2531</v>
      </c>
      <c r="AC98" s="34">
        <f t="shared" si="7"/>
        <v>2218</v>
      </c>
      <c r="AD98" s="34">
        <f t="shared" si="7"/>
        <v>2555</v>
      </c>
      <c r="AE98" s="34">
        <f t="shared" si="7"/>
        <v>2417</v>
      </c>
      <c r="AF98" s="34">
        <f t="shared" si="7"/>
        <v>2219</v>
      </c>
      <c r="AG98" s="34">
        <f t="shared" si="7"/>
        <v>2623</v>
      </c>
    </row>
    <row r="99" spans="2:33" ht="12.75">
      <c r="B99" s="33" t="s">
        <v>39</v>
      </c>
      <c r="C99" s="34">
        <f>C72</f>
        <v>0</v>
      </c>
      <c r="D99" s="34">
        <f aca="true" t="shared" si="8" ref="D99:AG99">D72</f>
        <v>0</v>
      </c>
      <c r="E99" s="34">
        <f t="shared" si="8"/>
        <v>0</v>
      </c>
      <c r="F99" s="34">
        <f t="shared" si="8"/>
        <v>0</v>
      </c>
      <c r="G99" s="34">
        <f t="shared" si="8"/>
        <v>0</v>
      </c>
      <c r="H99" s="34">
        <f t="shared" si="8"/>
        <v>0</v>
      </c>
      <c r="I99" s="34">
        <f t="shared" si="8"/>
        <v>0</v>
      </c>
      <c r="J99" s="34">
        <f t="shared" si="8"/>
        <v>0</v>
      </c>
      <c r="K99" s="34">
        <f t="shared" si="8"/>
        <v>0</v>
      </c>
      <c r="L99" s="34">
        <f t="shared" si="8"/>
        <v>0</v>
      </c>
      <c r="M99" s="34">
        <f t="shared" si="8"/>
        <v>0</v>
      </c>
      <c r="N99" s="34">
        <f t="shared" si="8"/>
        <v>0</v>
      </c>
      <c r="O99" s="34">
        <f t="shared" si="8"/>
        <v>0</v>
      </c>
      <c r="P99" s="34">
        <f t="shared" si="8"/>
        <v>0</v>
      </c>
      <c r="Q99" s="34">
        <f t="shared" si="8"/>
        <v>0</v>
      </c>
      <c r="R99" s="34">
        <f t="shared" si="8"/>
        <v>0</v>
      </c>
      <c r="S99" s="34">
        <f t="shared" si="8"/>
        <v>0</v>
      </c>
      <c r="T99" s="34">
        <f t="shared" si="8"/>
        <v>0</v>
      </c>
      <c r="U99" s="34">
        <f t="shared" si="8"/>
        <v>0</v>
      </c>
      <c r="V99" s="34">
        <f t="shared" si="8"/>
        <v>0</v>
      </c>
      <c r="W99" s="34">
        <f t="shared" si="8"/>
        <v>0</v>
      </c>
      <c r="X99" s="34">
        <f t="shared" si="8"/>
        <v>0</v>
      </c>
      <c r="Y99" s="34">
        <f t="shared" si="8"/>
        <v>0</v>
      </c>
      <c r="Z99" s="34">
        <f t="shared" si="8"/>
        <v>9</v>
      </c>
      <c r="AA99" s="34">
        <f t="shared" si="8"/>
        <v>24</v>
      </c>
      <c r="AB99" s="34">
        <f t="shared" si="8"/>
        <v>31</v>
      </c>
      <c r="AC99" s="34">
        <f t="shared" si="8"/>
        <v>41</v>
      </c>
      <c r="AD99" s="34">
        <f t="shared" si="8"/>
        <v>72</v>
      </c>
      <c r="AE99" s="34">
        <f t="shared" si="8"/>
        <v>87</v>
      </c>
      <c r="AF99" s="34">
        <f t="shared" si="8"/>
        <v>90</v>
      </c>
      <c r="AG99" s="34">
        <f t="shared" si="8"/>
        <v>119</v>
      </c>
    </row>
    <row r="100" spans="2:33" ht="12.75">
      <c r="B100" s="33" t="s">
        <v>29</v>
      </c>
      <c r="C100" s="34">
        <f>SUM(C73:C75)</f>
        <v>561</v>
      </c>
      <c r="D100" s="34">
        <f aca="true" t="shared" si="9" ref="D100:AG100">SUM(D73:D75)</f>
        <v>558</v>
      </c>
      <c r="E100" s="34">
        <f t="shared" si="9"/>
        <v>554</v>
      </c>
      <c r="F100" s="34">
        <f t="shared" si="9"/>
        <v>585</v>
      </c>
      <c r="G100" s="34">
        <f t="shared" si="9"/>
        <v>611</v>
      </c>
      <c r="H100" s="34">
        <f t="shared" si="9"/>
        <v>655</v>
      </c>
      <c r="I100" s="34">
        <f t="shared" si="9"/>
        <v>631</v>
      </c>
      <c r="J100" s="34">
        <f t="shared" si="9"/>
        <v>575</v>
      </c>
      <c r="K100" s="34">
        <f t="shared" si="9"/>
        <v>740</v>
      </c>
      <c r="L100" s="34">
        <f t="shared" si="9"/>
        <v>667</v>
      </c>
      <c r="M100" s="34">
        <f t="shared" si="9"/>
        <v>702</v>
      </c>
      <c r="N100" s="34">
        <f t="shared" si="9"/>
        <v>660</v>
      </c>
      <c r="O100" s="34">
        <f t="shared" si="9"/>
        <v>653</v>
      </c>
      <c r="P100" s="34">
        <f t="shared" si="9"/>
        <v>672</v>
      </c>
      <c r="Q100" s="34">
        <f t="shared" si="9"/>
        <v>633</v>
      </c>
      <c r="R100" s="34">
        <f t="shared" si="9"/>
        <v>677</v>
      </c>
      <c r="S100" s="34">
        <f t="shared" si="9"/>
        <v>697</v>
      </c>
      <c r="T100" s="34">
        <f t="shared" si="9"/>
        <v>726</v>
      </c>
      <c r="U100" s="34">
        <f t="shared" si="9"/>
        <v>667</v>
      </c>
      <c r="V100" s="34">
        <f t="shared" si="9"/>
        <v>704</v>
      </c>
      <c r="W100" s="34">
        <f t="shared" si="9"/>
        <v>731</v>
      </c>
      <c r="X100" s="34">
        <f t="shared" si="9"/>
        <v>642</v>
      </c>
      <c r="Y100" s="34">
        <f t="shared" si="9"/>
        <v>725</v>
      </c>
      <c r="Z100" s="34">
        <f t="shared" si="9"/>
        <v>696</v>
      </c>
      <c r="AA100" s="34">
        <f t="shared" si="9"/>
        <v>656</v>
      </c>
      <c r="AB100" s="34">
        <f t="shared" si="9"/>
        <v>699</v>
      </c>
      <c r="AC100" s="34">
        <f t="shared" si="9"/>
        <v>626</v>
      </c>
      <c r="AD100" s="34">
        <f t="shared" si="9"/>
        <v>709</v>
      </c>
      <c r="AE100" s="34">
        <f t="shared" si="9"/>
        <v>639</v>
      </c>
      <c r="AF100" s="34">
        <f t="shared" si="9"/>
        <v>622</v>
      </c>
      <c r="AG100" s="34">
        <f t="shared" si="9"/>
        <v>663</v>
      </c>
    </row>
    <row r="101" spans="2:33" ht="12.75">
      <c r="B101" s="33" t="s">
        <v>30</v>
      </c>
      <c r="C101" s="34">
        <f>SUM(C76:C79)</f>
        <v>2234</v>
      </c>
      <c r="D101" s="34">
        <f aca="true" t="shared" si="10" ref="D101:AG101">SUM(D76:D79)</f>
        <v>2105</v>
      </c>
      <c r="E101" s="34">
        <f t="shared" si="10"/>
        <v>2220</v>
      </c>
      <c r="F101" s="34">
        <f t="shared" si="10"/>
        <v>2245</v>
      </c>
      <c r="G101" s="34">
        <f t="shared" si="10"/>
        <v>2358</v>
      </c>
      <c r="H101" s="34">
        <f t="shared" si="10"/>
        <v>2449</v>
      </c>
      <c r="I101" s="34">
        <f t="shared" si="10"/>
        <v>2316</v>
      </c>
      <c r="J101" s="34">
        <f t="shared" si="10"/>
        <v>2164</v>
      </c>
      <c r="K101" s="34">
        <f t="shared" si="10"/>
        <v>2828</v>
      </c>
      <c r="L101" s="34">
        <f t="shared" si="10"/>
        <v>2537</v>
      </c>
      <c r="M101" s="34">
        <f t="shared" si="10"/>
        <v>2650</v>
      </c>
      <c r="N101" s="34">
        <f t="shared" si="10"/>
        <v>2483</v>
      </c>
      <c r="O101" s="34">
        <f t="shared" si="10"/>
        <v>2448</v>
      </c>
      <c r="P101" s="34">
        <f t="shared" si="10"/>
        <v>2565</v>
      </c>
      <c r="Q101" s="34">
        <f t="shared" si="10"/>
        <v>2533</v>
      </c>
      <c r="R101" s="34">
        <f t="shared" si="10"/>
        <v>2571</v>
      </c>
      <c r="S101" s="34">
        <f t="shared" si="10"/>
        <v>2688</v>
      </c>
      <c r="T101" s="34">
        <f t="shared" si="10"/>
        <v>2759</v>
      </c>
      <c r="U101" s="34">
        <f t="shared" si="10"/>
        <v>2612</v>
      </c>
      <c r="V101" s="34">
        <f t="shared" si="10"/>
        <v>2603</v>
      </c>
      <c r="W101" s="34">
        <f t="shared" si="10"/>
        <v>2839</v>
      </c>
      <c r="X101" s="34">
        <f t="shared" si="10"/>
        <v>2616</v>
      </c>
      <c r="Y101" s="34">
        <f t="shared" si="10"/>
        <v>2916</v>
      </c>
      <c r="Z101" s="34">
        <f t="shared" si="10"/>
        <v>2860</v>
      </c>
      <c r="AA101" s="34">
        <f t="shared" si="10"/>
        <v>2672</v>
      </c>
      <c r="AB101" s="34">
        <f t="shared" si="10"/>
        <v>2874</v>
      </c>
      <c r="AC101" s="34">
        <f t="shared" si="10"/>
        <v>2646</v>
      </c>
      <c r="AD101" s="34">
        <f t="shared" si="10"/>
        <v>2867</v>
      </c>
      <c r="AE101" s="34">
        <f t="shared" si="10"/>
        <v>2714</v>
      </c>
      <c r="AF101" s="34">
        <f t="shared" si="10"/>
        <v>2608</v>
      </c>
      <c r="AG101" s="34">
        <f t="shared" si="10"/>
        <v>2939</v>
      </c>
    </row>
    <row r="102" spans="2:33" ht="12.75">
      <c r="B102" s="33" t="s">
        <v>31</v>
      </c>
      <c r="C102" s="34">
        <f>SUM(C80:C82)</f>
        <v>245</v>
      </c>
      <c r="D102" s="34">
        <f aca="true" t="shared" si="11" ref="D102:AG102">SUM(D80:D82)</f>
        <v>244</v>
      </c>
      <c r="E102" s="34">
        <f t="shared" si="11"/>
        <v>242</v>
      </c>
      <c r="F102" s="34">
        <f t="shared" si="11"/>
        <v>279</v>
      </c>
      <c r="G102" s="34">
        <f t="shared" si="11"/>
        <v>296</v>
      </c>
      <c r="H102" s="34">
        <f t="shared" si="11"/>
        <v>315</v>
      </c>
      <c r="I102" s="34">
        <f t="shared" si="11"/>
        <v>347</v>
      </c>
      <c r="J102" s="34">
        <f t="shared" si="11"/>
        <v>301</v>
      </c>
      <c r="K102" s="34">
        <f t="shared" si="11"/>
        <v>434</v>
      </c>
      <c r="L102" s="34">
        <f t="shared" si="11"/>
        <v>381</v>
      </c>
      <c r="M102" s="34">
        <f t="shared" si="11"/>
        <v>434</v>
      </c>
      <c r="N102" s="34">
        <f t="shared" si="11"/>
        <v>409</v>
      </c>
      <c r="O102" s="34">
        <f t="shared" si="11"/>
        <v>395</v>
      </c>
      <c r="P102" s="34">
        <f t="shared" si="11"/>
        <v>440</v>
      </c>
      <c r="Q102" s="34">
        <f t="shared" si="11"/>
        <v>427</v>
      </c>
      <c r="R102" s="34">
        <f t="shared" si="11"/>
        <v>467</v>
      </c>
      <c r="S102" s="34">
        <f t="shared" si="11"/>
        <v>494</v>
      </c>
      <c r="T102" s="34">
        <f t="shared" si="11"/>
        <v>502</v>
      </c>
      <c r="U102" s="34">
        <f t="shared" si="11"/>
        <v>479</v>
      </c>
      <c r="V102" s="34">
        <f t="shared" si="11"/>
        <v>547</v>
      </c>
      <c r="W102" s="34">
        <f t="shared" si="11"/>
        <v>696</v>
      </c>
      <c r="X102" s="34">
        <f t="shared" si="11"/>
        <v>657</v>
      </c>
      <c r="Y102" s="34">
        <f t="shared" si="11"/>
        <v>819</v>
      </c>
      <c r="Z102" s="34">
        <f t="shared" si="11"/>
        <v>896</v>
      </c>
      <c r="AA102" s="34">
        <f t="shared" si="11"/>
        <v>881</v>
      </c>
      <c r="AB102" s="34">
        <f t="shared" si="11"/>
        <v>930</v>
      </c>
      <c r="AC102" s="34">
        <f t="shared" si="11"/>
        <v>981</v>
      </c>
      <c r="AD102" s="34">
        <f t="shared" si="11"/>
        <v>1055</v>
      </c>
      <c r="AE102" s="34">
        <f t="shared" si="11"/>
        <v>1085</v>
      </c>
      <c r="AF102" s="34">
        <f t="shared" si="11"/>
        <v>1026</v>
      </c>
      <c r="AG102" s="34">
        <f t="shared" si="11"/>
        <v>1201</v>
      </c>
    </row>
    <row r="103" spans="2:33" ht="12.75">
      <c r="B103" s="33" t="s">
        <v>32</v>
      </c>
      <c r="C103" s="34">
        <f>C83</f>
        <v>0</v>
      </c>
      <c r="D103" s="34">
        <f aca="true" t="shared" si="12" ref="D103:AG103">D83</f>
        <v>0</v>
      </c>
      <c r="E103" s="34">
        <f t="shared" si="12"/>
        <v>0</v>
      </c>
      <c r="F103" s="34">
        <f t="shared" si="12"/>
        <v>0</v>
      </c>
      <c r="G103" s="34">
        <f t="shared" si="12"/>
        <v>0</v>
      </c>
      <c r="H103" s="34">
        <f t="shared" si="12"/>
        <v>0</v>
      </c>
      <c r="I103" s="34">
        <f t="shared" si="12"/>
        <v>6</v>
      </c>
      <c r="J103" s="34">
        <f t="shared" si="12"/>
        <v>43</v>
      </c>
      <c r="K103" s="34">
        <f t="shared" si="12"/>
        <v>133</v>
      </c>
      <c r="L103" s="34">
        <f t="shared" si="12"/>
        <v>172</v>
      </c>
      <c r="M103" s="34">
        <f t="shared" si="12"/>
        <v>214</v>
      </c>
      <c r="N103" s="34">
        <f t="shared" si="12"/>
        <v>251</v>
      </c>
      <c r="O103" s="34">
        <f t="shared" si="12"/>
        <v>302</v>
      </c>
      <c r="P103" s="34">
        <f t="shared" si="12"/>
        <v>293</v>
      </c>
      <c r="Q103" s="34">
        <f t="shared" si="12"/>
        <v>307</v>
      </c>
      <c r="R103" s="34">
        <f t="shared" si="12"/>
        <v>308</v>
      </c>
      <c r="S103" s="34">
        <f t="shared" si="12"/>
        <v>342</v>
      </c>
      <c r="T103" s="34">
        <f t="shared" si="12"/>
        <v>368</v>
      </c>
      <c r="U103" s="34">
        <f t="shared" si="12"/>
        <v>374</v>
      </c>
      <c r="V103" s="34">
        <f t="shared" si="12"/>
        <v>387</v>
      </c>
      <c r="W103" s="34">
        <f t="shared" si="12"/>
        <v>407</v>
      </c>
      <c r="X103" s="34">
        <f t="shared" si="12"/>
        <v>390</v>
      </c>
      <c r="Y103" s="34">
        <f t="shared" si="12"/>
        <v>420</v>
      </c>
      <c r="Z103" s="34">
        <f t="shared" si="12"/>
        <v>410</v>
      </c>
      <c r="AA103" s="34">
        <f t="shared" si="12"/>
        <v>403</v>
      </c>
      <c r="AB103" s="34">
        <f t="shared" si="12"/>
        <v>416</v>
      </c>
      <c r="AC103" s="34">
        <f t="shared" si="12"/>
        <v>368</v>
      </c>
      <c r="AD103" s="34">
        <f t="shared" si="12"/>
        <v>437</v>
      </c>
      <c r="AE103" s="34">
        <f t="shared" si="12"/>
        <v>450</v>
      </c>
      <c r="AF103" s="34">
        <f t="shared" si="12"/>
        <v>405</v>
      </c>
      <c r="AG103" s="34">
        <f t="shared" si="12"/>
        <v>463</v>
      </c>
    </row>
    <row r="104" spans="2:33" ht="12.75">
      <c r="B104" s="33" t="s">
        <v>33</v>
      </c>
      <c r="C104" s="34">
        <f>SUM(C84:C85)</f>
        <v>0</v>
      </c>
      <c r="D104" s="34">
        <f aca="true" t="shared" si="13" ref="D104:AG104">SUM(D84:D85)</f>
        <v>0</v>
      </c>
      <c r="E104" s="34">
        <f t="shared" si="13"/>
        <v>0</v>
      </c>
      <c r="F104" s="34">
        <f t="shared" si="13"/>
        <v>0</v>
      </c>
      <c r="G104" s="34">
        <f t="shared" si="13"/>
        <v>0</v>
      </c>
      <c r="H104" s="34">
        <f t="shared" si="13"/>
        <v>0</v>
      </c>
      <c r="I104" s="34">
        <f t="shared" si="13"/>
        <v>0</v>
      </c>
      <c r="J104" s="34">
        <f t="shared" si="13"/>
        <v>0</v>
      </c>
      <c r="K104" s="34">
        <f t="shared" si="13"/>
        <v>0</v>
      </c>
      <c r="L104" s="34">
        <f t="shared" si="13"/>
        <v>0</v>
      </c>
      <c r="M104" s="34">
        <f t="shared" si="13"/>
        <v>0</v>
      </c>
      <c r="N104" s="34">
        <f t="shared" si="13"/>
        <v>0</v>
      </c>
      <c r="O104" s="34">
        <f t="shared" si="13"/>
        <v>0</v>
      </c>
      <c r="P104" s="34">
        <f t="shared" si="13"/>
        <v>0</v>
      </c>
      <c r="Q104" s="34">
        <f t="shared" si="13"/>
        <v>0</v>
      </c>
      <c r="R104" s="34">
        <f t="shared" si="13"/>
        <v>0</v>
      </c>
      <c r="S104" s="34">
        <f t="shared" si="13"/>
        <v>0</v>
      </c>
      <c r="T104" s="34">
        <f t="shared" si="13"/>
        <v>0</v>
      </c>
      <c r="U104" s="34">
        <f t="shared" si="13"/>
        <v>6</v>
      </c>
      <c r="V104" s="34">
        <f t="shared" si="13"/>
        <v>19</v>
      </c>
      <c r="W104" s="34">
        <f t="shared" si="13"/>
        <v>40</v>
      </c>
      <c r="X104" s="34">
        <f t="shared" si="13"/>
        <v>54</v>
      </c>
      <c r="Y104" s="34">
        <f t="shared" si="13"/>
        <v>88</v>
      </c>
      <c r="Z104" s="34">
        <f t="shared" si="13"/>
        <v>97</v>
      </c>
      <c r="AA104" s="34">
        <f t="shared" si="13"/>
        <v>120</v>
      </c>
      <c r="AB104" s="34">
        <f t="shared" si="13"/>
        <v>123</v>
      </c>
      <c r="AC104" s="34">
        <f t="shared" si="13"/>
        <v>135</v>
      </c>
      <c r="AD104" s="34">
        <f t="shared" si="13"/>
        <v>181</v>
      </c>
      <c r="AE104" s="34">
        <f t="shared" si="13"/>
        <v>173</v>
      </c>
      <c r="AF104" s="34">
        <f t="shared" si="13"/>
        <v>177</v>
      </c>
      <c r="AG104" s="34">
        <f t="shared" si="13"/>
        <v>210</v>
      </c>
    </row>
    <row r="105" spans="2:33" ht="12.75">
      <c r="B105" s="33" t="s">
        <v>34</v>
      </c>
      <c r="C105" s="34">
        <f>C86</f>
        <v>22</v>
      </c>
      <c r="D105" s="34">
        <f aca="true" t="shared" si="14" ref="D105:AG105">D86</f>
        <v>31</v>
      </c>
      <c r="E105" s="34">
        <f t="shared" si="14"/>
        <v>25</v>
      </c>
      <c r="F105" s="34">
        <f t="shared" si="14"/>
        <v>18</v>
      </c>
      <c r="G105" s="34">
        <f t="shared" si="14"/>
        <v>19</v>
      </c>
      <c r="H105" s="34">
        <f t="shared" si="14"/>
        <v>22</v>
      </c>
      <c r="I105" s="34">
        <f t="shared" si="14"/>
        <v>16</v>
      </c>
      <c r="J105" s="34">
        <f t="shared" si="14"/>
        <v>17</v>
      </c>
      <c r="K105" s="34">
        <f t="shared" si="14"/>
        <v>19</v>
      </c>
      <c r="L105" s="34">
        <f t="shared" si="14"/>
        <v>17</v>
      </c>
      <c r="M105" s="34">
        <f t="shared" si="14"/>
        <v>21</v>
      </c>
      <c r="N105" s="34">
        <f t="shared" si="14"/>
        <v>22</v>
      </c>
      <c r="O105" s="34">
        <f t="shared" si="14"/>
        <v>24</v>
      </c>
      <c r="P105" s="34">
        <f t="shared" si="14"/>
        <v>27</v>
      </c>
      <c r="Q105" s="34">
        <f t="shared" si="14"/>
        <v>28</v>
      </c>
      <c r="R105" s="34">
        <f t="shared" si="14"/>
        <v>25</v>
      </c>
      <c r="S105" s="34">
        <f t="shared" si="14"/>
        <v>25</v>
      </c>
      <c r="T105" s="34">
        <f t="shared" si="14"/>
        <v>26</v>
      </c>
      <c r="U105" s="34">
        <f t="shared" si="14"/>
        <v>18</v>
      </c>
      <c r="V105" s="34">
        <f t="shared" si="14"/>
        <v>16</v>
      </c>
      <c r="W105" s="34">
        <f t="shared" si="14"/>
        <v>17</v>
      </c>
      <c r="X105" s="34">
        <f t="shared" si="14"/>
        <v>18</v>
      </c>
      <c r="Y105" s="34">
        <f t="shared" si="14"/>
        <v>23</v>
      </c>
      <c r="Z105" s="34">
        <f t="shared" si="14"/>
        <v>20</v>
      </c>
      <c r="AA105" s="34">
        <f t="shared" si="14"/>
        <v>23</v>
      </c>
      <c r="AB105" s="34">
        <f t="shared" si="14"/>
        <v>14</v>
      </c>
      <c r="AC105" s="34">
        <f t="shared" si="14"/>
        <v>13</v>
      </c>
      <c r="AD105" s="34">
        <f t="shared" si="14"/>
        <v>15</v>
      </c>
      <c r="AE105" s="34">
        <f t="shared" si="14"/>
        <v>19</v>
      </c>
      <c r="AF105" s="34">
        <f t="shared" si="14"/>
        <v>12</v>
      </c>
      <c r="AG105" s="34">
        <f t="shared" si="14"/>
        <v>17</v>
      </c>
    </row>
    <row r="106" spans="2:33" ht="12.75">
      <c r="B106" s="33" t="s">
        <v>35</v>
      </c>
      <c r="C106" s="34">
        <f>SUM(C88:C93)</f>
        <v>1962</v>
      </c>
      <c r="D106" s="34">
        <f aca="true" t="shared" si="15" ref="D106:AG106">SUM(D88:D93)</f>
        <v>1786</v>
      </c>
      <c r="E106" s="34">
        <f t="shared" si="15"/>
        <v>1923</v>
      </c>
      <c r="F106" s="34">
        <f t="shared" si="15"/>
        <v>1874</v>
      </c>
      <c r="G106" s="34">
        <f t="shared" si="15"/>
        <v>2023</v>
      </c>
      <c r="H106" s="34">
        <f t="shared" si="15"/>
        <v>1974</v>
      </c>
      <c r="I106" s="34">
        <f t="shared" si="15"/>
        <v>1950</v>
      </c>
      <c r="J106" s="34">
        <f t="shared" si="15"/>
        <v>1733</v>
      </c>
      <c r="K106" s="34">
        <f t="shared" si="15"/>
        <v>2296</v>
      </c>
      <c r="L106" s="34">
        <f t="shared" si="15"/>
        <v>1950</v>
      </c>
      <c r="M106" s="34">
        <f t="shared" si="15"/>
        <v>2080</v>
      </c>
      <c r="N106" s="34">
        <f t="shared" si="15"/>
        <v>1976</v>
      </c>
      <c r="O106" s="34">
        <f t="shared" si="15"/>
        <v>1959</v>
      </c>
      <c r="P106" s="34">
        <f t="shared" si="15"/>
        <v>1968</v>
      </c>
      <c r="Q106" s="34">
        <f t="shared" si="15"/>
        <v>1950</v>
      </c>
      <c r="R106" s="34">
        <f t="shared" si="15"/>
        <v>1928</v>
      </c>
      <c r="S106" s="34">
        <f t="shared" si="15"/>
        <v>1997</v>
      </c>
      <c r="T106" s="34">
        <f t="shared" si="15"/>
        <v>1980</v>
      </c>
      <c r="U106" s="34">
        <f t="shared" si="15"/>
        <v>1940</v>
      </c>
      <c r="V106" s="34">
        <f t="shared" si="15"/>
        <v>1830</v>
      </c>
      <c r="W106" s="34">
        <f t="shared" si="15"/>
        <v>2098</v>
      </c>
      <c r="X106" s="34">
        <f t="shared" si="15"/>
        <v>1825</v>
      </c>
      <c r="Y106" s="34">
        <f t="shared" si="15"/>
        <v>2082</v>
      </c>
      <c r="Z106" s="34">
        <f t="shared" si="15"/>
        <v>2059</v>
      </c>
      <c r="AA106" s="34">
        <f t="shared" si="15"/>
        <v>1862</v>
      </c>
      <c r="AB106" s="34">
        <f t="shared" si="15"/>
        <v>1942</v>
      </c>
      <c r="AC106" s="34">
        <f t="shared" si="15"/>
        <v>1812</v>
      </c>
      <c r="AD106" s="34">
        <f t="shared" si="15"/>
        <v>1944</v>
      </c>
      <c r="AE106" s="34">
        <f t="shared" si="15"/>
        <v>1867</v>
      </c>
      <c r="AF106" s="34">
        <f t="shared" si="15"/>
        <v>1743</v>
      </c>
      <c r="AG106" s="34">
        <f t="shared" si="15"/>
        <v>1981</v>
      </c>
    </row>
    <row r="107" spans="2:33" ht="13.5" thickBot="1">
      <c r="B107" s="35" t="s">
        <v>72</v>
      </c>
      <c r="C107" s="36">
        <f>C94</f>
        <v>0</v>
      </c>
      <c r="D107" s="36">
        <f aca="true" t="shared" si="16" ref="D107:AG107">D94</f>
        <v>0</v>
      </c>
      <c r="E107" s="36">
        <f t="shared" si="16"/>
        <v>0</v>
      </c>
      <c r="F107" s="36">
        <f t="shared" si="16"/>
        <v>0</v>
      </c>
      <c r="G107" s="36">
        <f t="shared" si="16"/>
        <v>0</v>
      </c>
      <c r="H107" s="36">
        <f t="shared" si="16"/>
        <v>0</v>
      </c>
      <c r="I107" s="36">
        <f t="shared" si="16"/>
        <v>0</v>
      </c>
      <c r="J107" s="36">
        <f t="shared" si="16"/>
        <v>0</v>
      </c>
      <c r="K107" s="36">
        <f t="shared" si="16"/>
        <v>0</v>
      </c>
      <c r="L107" s="36">
        <f t="shared" si="16"/>
        <v>0</v>
      </c>
      <c r="M107" s="36">
        <f t="shared" si="16"/>
        <v>0</v>
      </c>
      <c r="N107" s="36">
        <f t="shared" si="16"/>
        <v>0</v>
      </c>
      <c r="O107" s="36">
        <f t="shared" si="16"/>
        <v>0</v>
      </c>
      <c r="P107" s="36">
        <f t="shared" si="16"/>
        <v>0</v>
      </c>
      <c r="Q107" s="36">
        <f t="shared" si="16"/>
        <v>0</v>
      </c>
      <c r="R107" s="36">
        <f t="shared" si="16"/>
        <v>0</v>
      </c>
      <c r="S107" s="36">
        <f t="shared" si="16"/>
        <v>0</v>
      </c>
      <c r="T107" s="36">
        <f t="shared" si="16"/>
        <v>0</v>
      </c>
      <c r="U107" s="36">
        <f t="shared" si="16"/>
        <v>0</v>
      </c>
      <c r="V107" s="36">
        <f t="shared" si="16"/>
        <v>0</v>
      </c>
      <c r="W107" s="36">
        <f t="shared" si="16"/>
        <v>0</v>
      </c>
      <c r="X107" s="36">
        <f t="shared" si="16"/>
        <v>0</v>
      </c>
      <c r="Y107" s="36">
        <f t="shared" si="16"/>
        <v>0</v>
      </c>
      <c r="Z107" s="36">
        <f t="shared" si="16"/>
        <v>0</v>
      </c>
      <c r="AA107" s="36">
        <f t="shared" si="16"/>
        <v>0</v>
      </c>
      <c r="AB107" s="36">
        <f t="shared" si="16"/>
        <v>0</v>
      </c>
      <c r="AC107" s="36">
        <f t="shared" si="16"/>
        <v>0</v>
      </c>
      <c r="AD107" s="36">
        <f t="shared" si="16"/>
        <v>0</v>
      </c>
      <c r="AE107" s="36">
        <f t="shared" si="16"/>
        <v>0</v>
      </c>
      <c r="AF107" s="36">
        <f t="shared" si="16"/>
        <v>0</v>
      </c>
      <c r="AG107" s="36">
        <f t="shared" si="16"/>
        <v>3</v>
      </c>
    </row>
    <row r="108" spans="2:33" ht="13.5" thickTop="1">
      <c r="B108" s="37" t="s">
        <v>36</v>
      </c>
      <c r="C108" s="48">
        <f>SUM(C97:C107)</f>
        <v>9379</v>
      </c>
      <c r="D108" s="48">
        <f aca="true" t="shared" si="17" ref="D108:AG108">SUM(D97:D107)</f>
        <v>8730</v>
      </c>
      <c r="E108" s="48">
        <f t="shared" si="17"/>
        <v>9272</v>
      </c>
      <c r="F108" s="48">
        <f t="shared" si="17"/>
        <v>9239</v>
      </c>
      <c r="G108" s="48">
        <f t="shared" si="17"/>
        <v>9734</v>
      </c>
      <c r="H108" s="48">
        <f t="shared" si="17"/>
        <v>9868</v>
      </c>
      <c r="I108" s="48">
        <f t="shared" si="17"/>
        <v>9494</v>
      </c>
      <c r="J108" s="48">
        <f t="shared" si="17"/>
        <v>8595</v>
      </c>
      <c r="K108" s="48">
        <f t="shared" si="17"/>
        <v>11471</v>
      </c>
      <c r="L108" s="48">
        <f t="shared" si="17"/>
        <v>9987</v>
      </c>
      <c r="M108" s="48">
        <f t="shared" si="17"/>
        <v>10660</v>
      </c>
      <c r="N108" s="48">
        <f t="shared" si="17"/>
        <v>10245</v>
      </c>
      <c r="O108" s="48">
        <f t="shared" si="17"/>
        <v>10003</v>
      </c>
      <c r="P108" s="48">
        <f t="shared" si="17"/>
        <v>10351</v>
      </c>
      <c r="Q108" s="48">
        <f t="shared" si="17"/>
        <v>10323</v>
      </c>
      <c r="R108" s="48">
        <f t="shared" si="17"/>
        <v>10338</v>
      </c>
      <c r="S108" s="48">
        <f t="shared" si="17"/>
        <v>10663</v>
      </c>
      <c r="T108" s="48">
        <f t="shared" si="17"/>
        <v>10965</v>
      </c>
      <c r="U108" s="48">
        <f t="shared" si="17"/>
        <v>10402</v>
      </c>
      <c r="V108" s="48">
        <f t="shared" si="17"/>
        <v>10227</v>
      </c>
      <c r="W108" s="48">
        <f t="shared" si="17"/>
        <v>11449</v>
      </c>
      <c r="X108" s="48">
        <f t="shared" si="17"/>
        <v>10152</v>
      </c>
      <c r="Y108" s="48">
        <f t="shared" si="17"/>
        <v>11544</v>
      </c>
      <c r="Z108" s="48">
        <f t="shared" si="17"/>
        <v>11402</v>
      </c>
      <c r="AA108" s="48">
        <f t="shared" si="17"/>
        <v>10648</v>
      </c>
      <c r="AB108" s="48">
        <f t="shared" si="17"/>
        <v>11260</v>
      </c>
      <c r="AC108" s="48">
        <f t="shared" si="17"/>
        <v>10477</v>
      </c>
      <c r="AD108" s="48">
        <f t="shared" si="17"/>
        <v>11693</v>
      </c>
      <c r="AE108" s="48">
        <f t="shared" si="17"/>
        <v>11231</v>
      </c>
      <c r="AF108" s="48">
        <f t="shared" si="17"/>
        <v>10548</v>
      </c>
      <c r="AG108" s="48">
        <f t="shared" si="17"/>
        <v>12134</v>
      </c>
    </row>
    <row r="109" spans="2:33" s="14" customFormat="1" ht="13.5" thickBot="1">
      <c r="B109" s="49" t="s">
        <v>37</v>
      </c>
      <c r="C109" s="50">
        <f>SUM(C97:C99)</f>
        <v>4355</v>
      </c>
      <c r="D109" s="50">
        <f aca="true" t="shared" si="18" ref="D109:AG109">SUM(D97:D99)</f>
        <v>4006</v>
      </c>
      <c r="E109" s="50">
        <f t="shared" si="18"/>
        <v>4308</v>
      </c>
      <c r="F109" s="50">
        <f t="shared" si="18"/>
        <v>4238</v>
      </c>
      <c r="G109" s="50">
        <f t="shared" si="18"/>
        <v>4427</v>
      </c>
      <c r="H109" s="50">
        <f t="shared" si="18"/>
        <v>4453</v>
      </c>
      <c r="I109" s="50">
        <f t="shared" si="18"/>
        <v>4228</v>
      </c>
      <c r="J109" s="50">
        <f t="shared" si="18"/>
        <v>3762</v>
      </c>
      <c r="K109" s="50">
        <f t="shared" si="18"/>
        <v>5021</v>
      </c>
      <c r="L109" s="50">
        <f t="shared" si="18"/>
        <v>4263</v>
      </c>
      <c r="M109" s="50">
        <f t="shared" si="18"/>
        <v>4559</v>
      </c>
      <c r="N109" s="50">
        <f t="shared" si="18"/>
        <v>4444</v>
      </c>
      <c r="O109" s="50">
        <f t="shared" si="18"/>
        <v>4222</v>
      </c>
      <c r="P109" s="50">
        <f t="shared" si="18"/>
        <v>4386</v>
      </c>
      <c r="Q109" s="50">
        <f t="shared" si="18"/>
        <v>4445</v>
      </c>
      <c r="R109" s="50">
        <f t="shared" si="18"/>
        <v>4362</v>
      </c>
      <c r="S109" s="50">
        <f t="shared" si="18"/>
        <v>4420</v>
      </c>
      <c r="T109" s="50">
        <f t="shared" si="18"/>
        <v>4604</v>
      </c>
      <c r="U109" s="50">
        <f t="shared" si="18"/>
        <v>4306</v>
      </c>
      <c r="V109" s="50">
        <f t="shared" si="18"/>
        <v>4121</v>
      </c>
      <c r="W109" s="50">
        <f t="shared" si="18"/>
        <v>4621</v>
      </c>
      <c r="X109" s="50">
        <f t="shared" si="18"/>
        <v>3950</v>
      </c>
      <c r="Y109" s="50">
        <f t="shared" si="18"/>
        <v>4471</v>
      </c>
      <c r="Z109" s="50">
        <f t="shared" si="18"/>
        <v>4364</v>
      </c>
      <c r="AA109" s="50">
        <f t="shared" si="18"/>
        <v>4031</v>
      </c>
      <c r="AB109" s="50">
        <f t="shared" si="18"/>
        <v>4262</v>
      </c>
      <c r="AC109" s="50">
        <f t="shared" si="18"/>
        <v>3896</v>
      </c>
      <c r="AD109" s="50">
        <f t="shared" si="18"/>
        <v>4485</v>
      </c>
      <c r="AE109" s="50">
        <f t="shared" si="18"/>
        <v>4284</v>
      </c>
      <c r="AF109" s="50">
        <f t="shared" si="18"/>
        <v>3955</v>
      </c>
      <c r="AG109" s="50">
        <f t="shared" si="18"/>
        <v>4657</v>
      </c>
    </row>
    <row r="110" spans="2:33" s="14" customFormat="1" ht="13.5" thickTop="1">
      <c r="B110" s="15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2:33" s="14" customFormat="1" ht="12.75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2:33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2:33" ht="12.75"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</row>
    <row r="114" spans="2:33" ht="13.5" thickBot="1">
      <c r="B114" s="42" t="s">
        <v>0</v>
      </c>
      <c r="C114" s="47">
        <v>38169</v>
      </c>
      <c r="D114" s="47">
        <v>38200</v>
      </c>
      <c r="E114" s="47">
        <v>38231</v>
      </c>
      <c r="F114" s="47">
        <v>38261</v>
      </c>
      <c r="G114" s="47">
        <v>38292</v>
      </c>
      <c r="H114" s="47">
        <v>38322</v>
      </c>
      <c r="I114" s="47">
        <v>38353</v>
      </c>
      <c r="J114" s="47">
        <v>38384</v>
      </c>
      <c r="K114" s="47">
        <v>38412</v>
      </c>
      <c r="L114" s="47">
        <v>38443</v>
      </c>
      <c r="M114" s="47">
        <v>38473</v>
      </c>
      <c r="N114" s="47">
        <v>38504</v>
      </c>
      <c r="O114" s="47">
        <v>38534</v>
      </c>
      <c r="P114" s="47">
        <v>38565</v>
      </c>
      <c r="Q114" s="47">
        <v>38596</v>
      </c>
      <c r="R114" s="47">
        <v>38626</v>
      </c>
      <c r="S114" s="47">
        <v>38657</v>
      </c>
      <c r="T114" s="47">
        <v>38687</v>
      </c>
      <c r="U114" s="47">
        <v>38718</v>
      </c>
      <c r="V114" s="47">
        <v>38749</v>
      </c>
      <c r="W114" s="47">
        <v>38777</v>
      </c>
      <c r="X114" s="47">
        <v>38808</v>
      </c>
      <c r="Y114" s="47">
        <v>38838</v>
      </c>
      <c r="Z114" s="47">
        <v>38869</v>
      </c>
      <c r="AA114" s="47">
        <v>38899</v>
      </c>
      <c r="AB114" s="47">
        <v>38930</v>
      </c>
      <c r="AC114" s="47">
        <v>38961</v>
      </c>
      <c r="AD114" s="47">
        <v>38991</v>
      </c>
      <c r="AE114" s="47">
        <v>39022</v>
      </c>
      <c r="AF114" s="47">
        <v>39052</v>
      </c>
      <c r="AG114" s="47">
        <v>39083</v>
      </c>
    </row>
    <row r="115" spans="2:33" ht="13.5" thickTop="1">
      <c r="B115" s="40" t="s">
        <v>27</v>
      </c>
      <c r="C115" s="43">
        <f aca="true" t="shared" si="19" ref="C115:C127">C97/C$108</f>
        <v>0.17709777161744322</v>
      </c>
      <c r="D115" s="43">
        <f aca="true" t="shared" si="20" ref="D115:AB115">D97/D$108</f>
        <v>0.17972508591065292</v>
      </c>
      <c r="E115" s="43">
        <f t="shared" si="20"/>
        <v>0.17763157894736842</v>
      </c>
      <c r="F115" s="43">
        <f t="shared" si="20"/>
        <v>0.174153046866544</v>
      </c>
      <c r="G115" s="43">
        <f t="shared" si="20"/>
        <v>0.17115266077665914</v>
      </c>
      <c r="H115" s="43">
        <f t="shared" si="20"/>
        <v>0.17186866639643292</v>
      </c>
      <c r="I115" s="43">
        <f t="shared" si="20"/>
        <v>0.17410996418790814</v>
      </c>
      <c r="J115" s="43">
        <f t="shared" si="20"/>
        <v>0.16765561372891216</v>
      </c>
      <c r="K115" s="43">
        <f t="shared" si="20"/>
        <v>0.16920931043501003</v>
      </c>
      <c r="L115" s="43">
        <f t="shared" si="20"/>
        <v>0.16481425853609694</v>
      </c>
      <c r="M115" s="43">
        <f t="shared" si="20"/>
        <v>0.1647279549718574</v>
      </c>
      <c r="N115" s="43">
        <f t="shared" si="20"/>
        <v>0.17003416300634455</v>
      </c>
      <c r="O115" s="43">
        <f t="shared" si="20"/>
        <v>0.16425072478256522</v>
      </c>
      <c r="P115" s="43">
        <f t="shared" si="20"/>
        <v>0.17109458023379384</v>
      </c>
      <c r="Q115" s="43">
        <f t="shared" si="20"/>
        <v>0.16758694178049016</v>
      </c>
      <c r="R115" s="43">
        <f t="shared" si="20"/>
        <v>0.1665699361578642</v>
      </c>
      <c r="S115" s="43">
        <f t="shared" si="20"/>
        <v>0.16852668104660978</v>
      </c>
      <c r="T115" s="43">
        <f t="shared" si="20"/>
        <v>0.1664386684906521</v>
      </c>
      <c r="U115" s="43">
        <f t="shared" si="20"/>
        <v>0.1655450874831763</v>
      </c>
      <c r="V115" s="43">
        <f t="shared" si="20"/>
        <v>0.16299990221961475</v>
      </c>
      <c r="W115" s="43">
        <f t="shared" si="20"/>
        <v>0.1614114769848895</v>
      </c>
      <c r="X115" s="43">
        <f t="shared" si="20"/>
        <v>0.15602836879432624</v>
      </c>
      <c r="Y115" s="43">
        <f t="shared" si="20"/>
        <v>0.1548856548856549</v>
      </c>
      <c r="Z115" s="43">
        <f t="shared" si="20"/>
        <v>0.15839326433958956</v>
      </c>
      <c r="AA115" s="43">
        <f t="shared" si="20"/>
        <v>0.15664913598797897</v>
      </c>
      <c r="AB115" s="43">
        <f t="shared" si="20"/>
        <v>0.15097690941385436</v>
      </c>
      <c r="AC115" s="43">
        <f aca="true" t="shared" si="21" ref="AC115:AG124">AC97/AC$108</f>
        <v>0.15624701727593776</v>
      </c>
      <c r="AD115" s="43">
        <f t="shared" si="21"/>
        <v>0.15889848627383904</v>
      </c>
      <c r="AE115" s="43">
        <f t="shared" si="21"/>
        <v>0.15848989404327307</v>
      </c>
      <c r="AF115" s="43">
        <f t="shared" si="21"/>
        <v>0.15604854000758436</v>
      </c>
      <c r="AG115" s="43">
        <f t="shared" si="21"/>
        <v>0.15782099884621725</v>
      </c>
    </row>
    <row r="116" spans="2:33" ht="12.75">
      <c r="B116" s="33" t="s">
        <v>28</v>
      </c>
      <c r="C116" s="38">
        <f t="shared" si="19"/>
        <v>0.2872374453566478</v>
      </c>
      <c r="D116" s="38">
        <f aca="true" t="shared" si="22" ref="D116:AB116">D98/D$108</f>
        <v>0.2791523482245132</v>
      </c>
      <c r="E116" s="38">
        <f t="shared" si="22"/>
        <v>0.28699309749784296</v>
      </c>
      <c r="F116" s="38">
        <f t="shared" si="22"/>
        <v>0.2845546054767832</v>
      </c>
      <c r="G116" s="38">
        <f t="shared" si="22"/>
        <v>0.2836449558249435</v>
      </c>
      <c r="H116" s="38">
        <f t="shared" si="22"/>
        <v>0.27938792055127687</v>
      </c>
      <c r="I116" s="38">
        <f t="shared" si="22"/>
        <v>0.27122393090372865</v>
      </c>
      <c r="J116" s="38">
        <f t="shared" si="22"/>
        <v>0.27004072134962187</v>
      </c>
      <c r="K116" s="38">
        <f t="shared" si="22"/>
        <v>0.2685031819370587</v>
      </c>
      <c r="L116" s="38">
        <f t="shared" si="22"/>
        <v>0.2620406528487033</v>
      </c>
      <c r="M116" s="38">
        <f t="shared" si="22"/>
        <v>0.2629455909943715</v>
      </c>
      <c r="N116" s="38">
        <f t="shared" si="22"/>
        <v>0.26373840897999024</v>
      </c>
      <c r="O116" s="38">
        <f t="shared" si="22"/>
        <v>0.2578226532040388</v>
      </c>
      <c r="P116" s="38">
        <f t="shared" si="22"/>
        <v>0.25263259588445564</v>
      </c>
      <c r="Q116" s="38">
        <f t="shared" si="22"/>
        <v>0.2630049404242953</v>
      </c>
      <c r="R116" s="38">
        <f t="shared" si="22"/>
        <v>0.2553685432385374</v>
      </c>
      <c r="S116" s="38">
        <f t="shared" si="22"/>
        <v>0.24599080934071088</v>
      </c>
      <c r="T116" s="38">
        <f t="shared" si="22"/>
        <v>0.2534427724578203</v>
      </c>
      <c r="U116" s="38">
        <f t="shared" si="22"/>
        <v>0.24841376658334935</v>
      </c>
      <c r="V116" s="38">
        <f t="shared" si="22"/>
        <v>0.23995306541507774</v>
      </c>
      <c r="W116" s="38">
        <f t="shared" si="22"/>
        <v>0.24220455935016158</v>
      </c>
      <c r="X116" s="38">
        <f t="shared" si="22"/>
        <v>0.2330575256107171</v>
      </c>
      <c r="Y116" s="38">
        <f t="shared" si="22"/>
        <v>0.2324151074151074</v>
      </c>
      <c r="Z116" s="38">
        <f t="shared" si="22"/>
        <v>0.22355727065427117</v>
      </c>
      <c r="AA116" s="38">
        <f t="shared" si="22"/>
        <v>0.2196656649135988</v>
      </c>
      <c r="AB116" s="38">
        <f t="shared" si="22"/>
        <v>0.22477797513321493</v>
      </c>
      <c r="AC116" s="38">
        <f t="shared" si="21"/>
        <v>0.21170182304094684</v>
      </c>
      <c r="AD116" s="38">
        <f t="shared" si="21"/>
        <v>0.21850679893953648</v>
      </c>
      <c r="AE116" s="38">
        <f t="shared" si="21"/>
        <v>0.2152079066868489</v>
      </c>
      <c r="AF116" s="38">
        <f t="shared" si="21"/>
        <v>0.2103716344330679</v>
      </c>
      <c r="AG116" s="38">
        <f t="shared" si="21"/>
        <v>0.21616944123949233</v>
      </c>
    </row>
    <row r="117" spans="2:33" ht="12.75">
      <c r="B117" s="33" t="s">
        <v>39</v>
      </c>
      <c r="C117" s="38">
        <f t="shared" si="19"/>
        <v>0</v>
      </c>
      <c r="D117" s="38">
        <f aca="true" t="shared" si="23" ref="D117:AB117">D99/D$108</f>
        <v>0</v>
      </c>
      <c r="E117" s="38">
        <f t="shared" si="23"/>
        <v>0</v>
      </c>
      <c r="F117" s="38">
        <f t="shared" si="23"/>
        <v>0</v>
      </c>
      <c r="G117" s="38">
        <f t="shared" si="23"/>
        <v>0</v>
      </c>
      <c r="H117" s="38">
        <f t="shared" si="23"/>
        <v>0</v>
      </c>
      <c r="I117" s="38">
        <f t="shared" si="23"/>
        <v>0</v>
      </c>
      <c r="J117" s="38">
        <f t="shared" si="23"/>
        <v>0</v>
      </c>
      <c r="K117" s="38">
        <f t="shared" si="23"/>
        <v>0</v>
      </c>
      <c r="L117" s="38">
        <f t="shared" si="23"/>
        <v>0</v>
      </c>
      <c r="M117" s="38">
        <f t="shared" si="23"/>
        <v>0</v>
      </c>
      <c r="N117" s="38">
        <f t="shared" si="23"/>
        <v>0</v>
      </c>
      <c r="O117" s="38">
        <f t="shared" si="23"/>
        <v>0</v>
      </c>
      <c r="P117" s="38">
        <f t="shared" si="23"/>
        <v>0</v>
      </c>
      <c r="Q117" s="38">
        <f t="shared" si="23"/>
        <v>0</v>
      </c>
      <c r="R117" s="38">
        <f t="shared" si="23"/>
        <v>0</v>
      </c>
      <c r="S117" s="38">
        <f t="shared" si="23"/>
        <v>0</v>
      </c>
      <c r="T117" s="38">
        <f t="shared" si="23"/>
        <v>0</v>
      </c>
      <c r="U117" s="38">
        <f t="shared" si="23"/>
        <v>0</v>
      </c>
      <c r="V117" s="38">
        <f t="shared" si="23"/>
        <v>0</v>
      </c>
      <c r="W117" s="38">
        <f t="shared" si="23"/>
        <v>0</v>
      </c>
      <c r="X117" s="38">
        <f t="shared" si="23"/>
        <v>0</v>
      </c>
      <c r="Y117" s="38">
        <f t="shared" si="23"/>
        <v>0</v>
      </c>
      <c r="Z117" s="38">
        <f t="shared" si="23"/>
        <v>0.000789335204350114</v>
      </c>
      <c r="AA117" s="38">
        <f t="shared" si="23"/>
        <v>0.002253944402704733</v>
      </c>
      <c r="AB117" s="38">
        <f t="shared" si="23"/>
        <v>0.002753108348134991</v>
      </c>
      <c r="AC117" s="38">
        <f t="shared" si="21"/>
        <v>0.0039133339696478</v>
      </c>
      <c r="AD117" s="38">
        <f t="shared" si="21"/>
        <v>0.006157530146241341</v>
      </c>
      <c r="AE117" s="38">
        <f t="shared" si="21"/>
        <v>0.0077464161695307635</v>
      </c>
      <c r="AF117" s="38">
        <f t="shared" si="21"/>
        <v>0.008532423208191127</v>
      </c>
      <c r="AG117" s="38">
        <f t="shared" si="21"/>
        <v>0.009807153453106973</v>
      </c>
    </row>
    <row r="118" spans="2:33" ht="12.75">
      <c r="B118" s="33" t="s">
        <v>29</v>
      </c>
      <c r="C118" s="38">
        <f t="shared" si="19"/>
        <v>0.0598144791555603</v>
      </c>
      <c r="D118" s="38">
        <f aca="true" t="shared" si="24" ref="D118:AB118">D100/D$108</f>
        <v>0.06391752577319587</v>
      </c>
      <c r="E118" s="38">
        <f t="shared" si="24"/>
        <v>0.05974978429680759</v>
      </c>
      <c r="F118" s="38">
        <f t="shared" si="24"/>
        <v>0.06331854096763719</v>
      </c>
      <c r="G118" s="38">
        <f t="shared" si="24"/>
        <v>0.06276967331004726</v>
      </c>
      <c r="H118" s="38">
        <f t="shared" si="24"/>
        <v>0.06637616538305634</v>
      </c>
      <c r="I118" s="38">
        <f t="shared" si="24"/>
        <v>0.06646302928165157</v>
      </c>
      <c r="J118" s="38">
        <f t="shared" si="24"/>
        <v>0.06689936009307737</v>
      </c>
      <c r="K118" s="38">
        <f t="shared" si="24"/>
        <v>0.0645105047511115</v>
      </c>
      <c r="L118" s="38">
        <f t="shared" si="24"/>
        <v>0.06678682286973064</v>
      </c>
      <c r="M118" s="38">
        <f t="shared" si="24"/>
        <v>0.06585365853658537</v>
      </c>
      <c r="N118" s="38">
        <f t="shared" si="24"/>
        <v>0.06442166910688141</v>
      </c>
      <c r="O118" s="38">
        <f t="shared" si="24"/>
        <v>0.06528041587523743</v>
      </c>
      <c r="P118" s="38">
        <f t="shared" si="24"/>
        <v>0.06492126364602453</v>
      </c>
      <c r="Q118" s="38">
        <f t="shared" si="24"/>
        <v>0.06131938390002906</v>
      </c>
      <c r="R118" s="38">
        <f t="shared" si="24"/>
        <v>0.06548655445927645</v>
      </c>
      <c r="S118" s="38">
        <f t="shared" si="24"/>
        <v>0.06536621963800056</v>
      </c>
      <c r="T118" s="38">
        <f t="shared" si="24"/>
        <v>0.06621067031463748</v>
      </c>
      <c r="U118" s="38">
        <f t="shared" si="24"/>
        <v>0.06412228417611998</v>
      </c>
      <c r="V118" s="38">
        <f t="shared" si="24"/>
        <v>0.0688373912193214</v>
      </c>
      <c r="W118" s="38">
        <f t="shared" si="24"/>
        <v>0.06384837103677177</v>
      </c>
      <c r="X118" s="38">
        <f t="shared" si="24"/>
        <v>0.06323877068557919</v>
      </c>
      <c r="Y118" s="38">
        <f t="shared" si="24"/>
        <v>0.0628031878031878</v>
      </c>
      <c r="Z118" s="38">
        <f t="shared" si="24"/>
        <v>0.06104192246974215</v>
      </c>
      <c r="AA118" s="38">
        <f t="shared" si="24"/>
        <v>0.061607813673929375</v>
      </c>
      <c r="AB118" s="38">
        <f t="shared" si="24"/>
        <v>0.06207815275310835</v>
      </c>
      <c r="AC118" s="38">
        <f t="shared" si="21"/>
        <v>0.059749928414622504</v>
      </c>
      <c r="AD118" s="38">
        <f t="shared" si="21"/>
        <v>0.06063456769007098</v>
      </c>
      <c r="AE118" s="38">
        <f t="shared" si="21"/>
        <v>0.05689609117620871</v>
      </c>
      <c r="AF118" s="38">
        <f t="shared" si="21"/>
        <v>0.058968524838832005</v>
      </c>
      <c r="AG118" s="38">
        <f t="shared" si="21"/>
        <v>0.05463985495302456</v>
      </c>
    </row>
    <row r="119" spans="2:33" ht="12.75">
      <c r="B119" s="33" t="s">
        <v>30</v>
      </c>
      <c r="C119" s="38">
        <f t="shared" si="19"/>
        <v>0.2381917048725877</v>
      </c>
      <c r="D119" s="38">
        <f aca="true" t="shared" si="25" ref="D119:AB119">D101/D$108</f>
        <v>0.2411225658648339</v>
      </c>
      <c r="E119" s="38">
        <f t="shared" si="25"/>
        <v>0.23943054357204488</v>
      </c>
      <c r="F119" s="38">
        <f t="shared" si="25"/>
        <v>0.24299166576469314</v>
      </c>
      <c r="G119" s="38">
        <f t="shared" si="25"/>
        <v>0.24224368193959317</v>
      </c>
      <c r="H119" s="38">
        <f t="shared" si="25"/>
        <v>0.24817592217267936</v>
      </c>
      <c r="I119" s="38">
        <f t="shared" si="25"/>
        <v>0.24394354329049928</v>
      </c>
      <c r="J119" s="38">
        <f t="shared" si="25"/>
        <v>0.25177428737638163</v>
      </c>
      <c r="K119" s="38">
        <f t="shared" si="25"/>
        <v>0.24653473977857204</v>
      </c>
      <c r="L119" s="38">
        <f t="shared" si="25"/>
        <v>0.2540302393111044</v>
      </c>
      <c r="M119" s="38">
        <f t="shared" si="25"/>
        <v>0.24859287054409004</v>
      </c>
      <c r="N119" s="38">
        <f t="shared" si="25"/>
        <v>0.2423621278672523</v>
      </c>
      <c r="O119" s="38">
        <f t="shared" si="25"/>
        <v>0.24472658202539238</v>
      </c>
      <c r="P119" s="38">
        <f t="shared" si="25"/>
        <v>0.2478021447203169</v>
      </c>
      <c r="Q119" s="38">
        <f t="shared" si="25"/>
        <v>0.24537440666472923</v>
      </c>
      <c r="R119" s="38">
        <f t="shared" si="25"/>
        <v>0.24869413813116656</v>
      </c>
      <c r="S119" s="38">
        <f t="shared" si="25"/>
        <v>0.25208665478758324</v>
      </c>
      <c r="T119" s="38">
        <f t="shared" si="25"/>
        <v>0.2516187870497036</v>
      </c>
      <c r="U119" s="38">
        <f t="shared" si="25"/>
        <v>0.2511055566237262</v>
      </c>
      <c r="V119" s="38">
        <f t="shared" si="25"/>
        <v>0.2545223428180307</v>
      </c>
      <c r="W119" s="38">
        <f t="shared" si="25"/>
        <v>0.24796925495676478</v>
      </c>
      <c r="X119" s="38">
        <f t="shared" si="25"/>
        <v>0.2576832151300236</v>
      </c>
      <c r="Y119" s="38">
        <f t="shared" si="25"/>
        <v>0.2525987525987526</v>
      </c>
      <c r="Z119" s="38">
        <f t="shared" si="25"/>
        <v>0.25083318716014735</v>
      </c>
      <c r="AA119" s="38">
        <f t="shared" si="25"/>
        <v>0.25093914350112695</v>
      </c>
      <c r="AB119" s="38">
        <f t="shared" si="25"/>
        <v>0.25523978685612786</v>
      </c>
      <c r="AC119" s="38">
        <f t="shared" si="21"/>
        <v>0.2525532117972702</v>
      </c>
      <c r="AD119" s="38">
        <f t="shared" si="21"/>
        <v>0.24518942957324896</v>
      </c>
      <c r="AE119" s="38">
        <f t="shared" si="21"/>
        <v>0.24165256878283323</v>
      </c>
      <c r="AF119" s="38">
        <f t="shared" si="21"/>
        <v>0.2472506636329162</v>
      </c>
      <c r="AG119" s="38">
        <f t="shared" si="21"/>
        <v>0.24221196637547387</v>
      </c>
    </row>
    <row r="120" spans="2:33" ht="12.75">
      <c r="B120" s="33" t="s">
        <v>31</v>
      </c>
      <c r="C120" s="38">
        <f t="shared" si="19"/>
        <v>0.02612218786651029</v>
      </c>
      <c r="D120" s="38">
        <f aca="true" t="shared" si="26" ref="D120:AB120">D102/D$108</f>
        <v>0.027949599083619703</v>
      </c>
      <c r="E120" s="38">
        <f t="shared" si="26"/>
        <v>0.02610008628127696</v>
      </c>
      <c r="F120" s="38">
        <f t="shared" si="26"/>
        <v>0.03019807338456543</v>
      </c>
      <c r="G120" s="38">
        <f t="shared" si="26"/>
        <v>0.03040887610437641</v>
      </c>
      <c r="H120" s="38">
        <f t="shared" si="26"/>
        <v>0.03192136197811107</v>
      </c>
      <c r="I120" s="38">
        <f t="shared" si="26"/>
        <v>0.03654939962081315</v>
      </c>
      <c r="J120" s="38">
        <f t="shared" si="26"/>
        <v>0.03502036067481094</v>
      </c>
      <c r="K120" s="38">
        <f t="shared" si="26"/>
        <v>0.03783453927294918</v>
      </c>
      <c r="L120" s="38">
        <f t="shared" si="26"/>
        <v>0.03814959447281466</v>
      </c>
      <c r="M120" s="38">
        <f t="shared" si="26"/>
        <v>0.04071294559099437</v>
      </c>
      <c r="N120" s="38">
        <f t="shared" si="26"/>
        <v>0.039921913128355295</v>
      </c>
      <c r="O120" s="38">
        <f t="shared" si="26"/>
        <v>0.03948815355393382</v>
      </c>
      <c r="P120" s="38">
        <f t="shared" si="26"/>
        <v>0.04250797024442083</v>
      </c>
      <c r="Q120" s="38">
        <f t="shared" si="26"/>
        <v>0.04136394458975104</v>
      </c>
      <c r="R120" s="38">
        <f t="shared" si="26"/>
        <v>0.045173147610756435</v>
      </c>
      <c r="S120" s="38">
        <f t="shared" si="26"/>
        <v>0.04632842539622995</v>
      </c>
      <c r="T120" s="38">
        <f t="shared" si="26"/>
        <v>0.04578203374373005</v>
      </c>
      <c r="U120" s="38">
        <f t="shared" si="26"/>
        <v>0.04604883676216112</v>
      </c>
      <c r="V120" s="38">
        <f t="shared" si="26"/>
        <v>0.05348587073433069</v>
      </c>
      <c r="W120" s="38">
        <f t="shared" si="26"/>
        <v>0.06079133548781553</v>
      </c>
      <c r="X120" s="38">
        <f t="shared" si="26"/>
        <v>0.06471631205673758</v>
      </c>
      <c r="Y120" s="38">
        <f t="shared" si="26"/>
        <v>0.07094594594594594</v>
      </c>
      <c r="Z120" s="38">
        <f t="shared" si="26"/>
        <v>0.07858270478863358</v>
      </c>
      <c r="AA120" s="38">
        <f t="shared" si="26"/>
        <v>0.08273854244928625</v>
      </c>
      <c r="AB120" s="38">
        <f t="shared" si="26"/>
        <v>0.08259325044404973</v>
      </c>
      <c r="AC120" s="38">
        <f t="shared" si="21"/>
        <v>0.09363367376157297</v>
      </c>
      <c r="AD120" s="38">
        <f t="shared" si="21"/>
        <v>0.09022492089284187</v>
      </c>
      <c r="AE120" s="38">
        <f t="shared" si="21"/>
        <v>0.09660760395334342</v>
      </c>
      <c r="AF120" s="38">
        <f t="shared" si="21"/>
        <v>0.09726962457337884</v>
      </c>
      <c r="AG120" s="38">
        <f t="shared" si="21"/>
        <v>0.0989780781275754</v>
      </c>
    </row>
    <row r="121" spans="2:33" ht="12.75">
      <c r="B121" s="33" t="s">
        <v>32</v>
      </c>
      <c r="C121" s="38">
        <f t="shared" si="19"/>
        <v>0</v>
      </c>
      <c r="D121" s="38">
        <f aca="true" t="shared" si="27" ref="D121:AB121">D103/D$108</f>
        <v>0</v>
      </c>
      <c r="E121" s="38">
        <f t="shared" si="27"/>
        <v>0</v>
      </c>
      <c r="F121" s="38">
        <f t="shared" si="27"/>
        <v>0</v>
      </c>
      <c r="G121" s="38">
        <f t="shared" si="27"/>
        <v>0</v>
      </c>
      <c r="H121" s="38">
        <f t="shared" si="27"/>
        <v>0</v>
      </c>
      <c r="I121" s="38">
        <f t="shared" si="27"/>
        <v>0.0006319780914261639</v>
      </c>
      <c r="J121" s="38">
        <f t="shared" si="27"/>
        <v>0.0050029086678301336</v>
      </c>
      <c r="K121" s="38">
        <f t="shared" si="27"/>
        <v>0.011594455583645715</v>
      </c>
      <c r="L121" s="38">
        <f t="shared" si="27"/>
        <v>0.01722238910583759</v>
      </c>
      <c r="M121" s="38">
        <f t="shared" si="27"/>
        <v>0.0200750469043152</v>
      </c>
      <c r="N121" s="38">
        <f t="shared" si="27"/>
        <v>0.02449975597852611</v>
      </c>
      <c r="O121" s="38">
        <f t="shared" si="27"/>
        <v>0.030190942717184845</v>
      </c>
      <c r="P121" s="38">
        <f t="shared" si="27"/>
        <v>0.02830644382185296</v>
      </c>
      <c r="Q121" s="38">
        <f t="shared" si="27"/>
        <v>0.02973941683619103</v>
      </c>
      <c r="R121" s="38">
        <f t="shared" si="27"/>
        <v>0.0297929967111627</v>
      </c>
      <c r="S121" s="38">
        <f t="shared" si="27"/>
        <v>0.03207352527431304</v>
      </c>
      <c r="T121" s="38">
        <f t="shared" si="27"/>
        <v>0.033561331509347925</v>
      </c>
      <c r="U121" s="38">
        <f t="shared" si="27"/>
        <v>0.035954624110747936</v>
      </c>
      <c r="V121" s="38">
        <f t="shared" si="27"/>
        <v>0.03784100909357583</v>
      </c>
      <c r="W121" s="38">
        <f t="shared" si="27"/>
        <v>0.035548956240719715</v>
      </c>
      <c r="X121" s="38">
        <f t="shared" si="27"/>
        <v>0.0384160756501182</v>
      </c>
      <c r="Y121" s="38">
        <f t="shared" si="27"/>
        <v>0.036382536382536385</v>
      </c>
      <c r="Z121" s="38">
        <f t="shared" si="27"/>
        <v>0.03595860375372742</v>
      </c>
      <c r="AA121" s="38">
        <f t="shared" si="27"/>
        <v>0.03784748309541698</v>
      </c>
      <c r="AB121" s="38">
        <f t="shared" si="27"/>
        <v>0.0369449378330373</v>
      </c>
      <c r="AC121" s="38">
        <f t="shared" si="21"/>
        <v>0.03512455855683879</v>
      </c>
      <c r="AD121" s="38">
        <f t="shared" si="21"/>
        <v>0.0373727871376037</v>
      </c>
      <c r="AE121" s="38">
        <f t="shared" si="21"/>
        <v>0.0400676698424005</v>
      </c>
      <c r="AF121" s="38">
        <f t="shared" si="21"/>
        <v>0.03839590443686007</v>
      </c>
      <c r="AG121" s="38">
        <f t="shared" si="21"/>
        <v>0.038157244107466626</v>
      </c>
    </row>
    <row r="122" spans="2:33" ht="12.75">
      <c r="B122" s="33" t="s">
        <v>33</v>
      </c>
      <c r="C122" s="38">
        <f t="shared" si="19"/>
        <v>0</v>
      </c>
      <c r="D122" s="38">
        <f aca="true" t="shared" si="28" ref="D122:AB122">D104/D$108</f>
        <v>0</v>
      </c>
      <c r="E122" s="38">
        <f t="shared" si="28"/>
        <v>0</v>
      </c>
      <c r="F122" s="38">
        <f t="shared" si="28"/>
        <v>0</v>
      </c>
      <c r="G122" s="38">
        <f t="shared" si="28"/>
        <v>0</v>
      </c>
      <c r="H122" s="38">
        <f t="shared" si="28"/>
        <v>0</v>
      </c>
      <c r="I122" s="38">
        <f t="shared" si="28"/>
        <v>0</v>
      </c>
      <c r="J122" s="38">
        <f t="shared" si="28"/>
        <v>0</v>
      </c>
      <c r="K122" s="38">
        <f t="shared" si="28"/>
        <v>0</v>
      </c>
      <c r="L122" s="38">
        <f t="shared" si="28"/>
        <v>0</v>
      </c>
      <c r="M122" s="38">
        <f t="shared" si="28"/>
        <v>0</v>
      </c>
      <c r="N122" s="38">
        <f t="shared" si="28"/>
        <v>0</v>
      </c>
      <c r="O122" s="38">
        <f t="shared" si="28"/>
        <v>0</v>
      </c>
      <c r="P122" s="38">
        <f t="shared" si="28"/>
        <v>0</v>
      </c>
      <c r="Q122" s="38">
        <f t="shared" si="28"/>
        <v>0</v>
      </c>
      <c r="R122" s="38">
        <f t="shared" si="28"/>
        <v>0</v>
      </c>
      <c r="S122" s="38">
        <f t="shared" si="28"/>
        <v>0</v>
      </c>
      <c r="T122" s="38">
        <f t="shared" si="28"/>
        <v>0</v>
      </c>
      <c r="U122" s="38">
        <f t="shared" si="28"/>
        <v>0.0005768121515093252</v>
      </c>
      <c r="V122" s="38">
        <f t="shared" si="28"/>
        <v>0.00185782731983964</v>
      </c>
      <c r="W122" s="38">
        <f t="shared" si="28"/>
        <v>0.0034937549130928465</v>
      </c>
      <c r="X122" s="38">
        <f t="shared" si="28"/>
        <v>0.005319148936170213</v>
      </c>
      <c r="Y122" s="38">
        <f t="shared" si="28"/>
        <v>0.007623007623007623</v>
      </c>
      <c r="Z122" s="38">
        <f t="shared" si="28"/>
        <v>0.00850727942466234</v>
      </c>
      <c r="AA122" s="38">
        <f t="shared" si="28"/>
        <v>0.011269722013523666</v>
      </c>
      <c r="AB122" s="38">
        <f t="shared" si="28"/>
        <v>0.010923623445825932</v>
      </c>
      <c r="AC122" s="38">
        <f t="shared" si="21"/>
        <v>0.012885367948840317</v>
      </c>
      <c r="AD122" s="38">
        <f t="shared" si="21"/>
        <v>0.015479346617634481</v>
      </c>
      <c r="AE122" s="38">
        <f t="shared" si="21"/>
        <v>0.01540379307274508</v>
      </c>
      <c r="AF122" s="38">
        <f t="shared" si="21"/>
        <v>0.01678043230944255</v>
      </c>
      <c r="AG122" s="38">
        <f t="shared" si="21"/>
        <v>0.017306741387835833</v>
      </c>
    </row>
    <row r="123" spans="2:33" ht="12.75">
      <c r="B123" s="33" t="s">
        <v>34</v>
      </c>
      <c r="C123" s="38">
        <f t="shared" si="19"/>
        <v>0.0023456658492376587</v>
      </c>
      <c r="D123" s="38">
        <f aca="true" t="shared" si="29" ref="D123:AB123">D105/D$108</f>
        <v>0.0035509736540664375</v>
      </c>
      <c r="E123" s="38">
        <f t="shared" si="29"/>
        <v>0.0026962899050905955</v>
      </c>
      <c r="F123" s="38">
        <f t="shared" si="29"/>
        <v>0.0019482627990042212</v>
      </c>
      <c r="G123" s="38">
        <f t="shared" si="29"/>
        <v>0.001951921101294432</v>
      </c>
      <c r="H123" s="38">
        <f t="shared" si="29"/>
        <v>0.0022294284556141062</v>
      </c>
      <c r="I123" s="38">
        <f t="shared" si="29"/>
        <v>0.0016852749104697704</v>
      </c>
      <c r="J123" s="38">
        <f t="shared" si="29"/>
        <v>0.001977894124490983</v>
      </c>
      <c r="K123" s="38">
        <f t="shared" si="29"/>
        <v>0.0016563507976636736</v>
      </c>
      <c r="L123" s="38">
        <f t="shared" si="29"/>
        <v>0.0017022128767397618</v>
      </c>
      <c r="M123" s="38">
        <f t="shared" si="29"/>
        <v>0.0019699812382739214</v>
      </c>
      <c r="N123" s="38">
        <f t="shared" si="29"/>
        <v>0.00214738897022938</v>
      </c>
      <c r="O123" s="38">
        <f t="shared" si="29"/>
        <v>0.0023992802159352195</v>
      </c>
      <c r="P123" s="38">
        <f t="shared" si="29"/>
        <v>0.0026084436286349143</v>
      </c>
      <c r="Q123" s="38">
        <f t="shared" si="29"/>
        <v>0.0027123898091640027</v>
      </c>
      <c r="R123" s="38">
        <f t="shared" si="29"/>
        <v>0.0024182627200619077</v>
      </c>
      <c r="S123" s="38">
        <f t="shared" si="29"/>
        <v>0.002344555941104755</v>
      </c>
      <c r="T123" s="38">
        <f t="shared" si="29"/>
        <v>0.0023711810305517556</v>
      </c>
      <c r="U123" s="38">
        <f t="shared" si="29"/>
        <v>0.0017304364545279755</v>
      </c>
      <c r="V123" s="38">
        <f t="shared" si="29"/>
        <v>0.0015644861640754864</v>
      </c>
      <c r="W123" s="38">
        <f t="shared" si="29"/>
        <v>0.0014848458380644597</v>
      </c>
      <c r="X123" s="38">
        <f t="shared" si="29"/>
        <v>0.0017730496453900709</v>
      </c>
      <c r="Y123" s="38">
        <f t="shared" si="29"/>
        <v>0.0019923769923769923</v>
      </c>
      <c r="Z123" s="38">
        <f t="shared" si="29"/>
        <v>0.0017540782318891423</v>
      </c>
      <c r="AA123" s="38">
        <f t="shared" si="29"/>
        <v>0.002160030052592036</v>
      </c>
      <c r="AB123" s="38">
        <f t="shared" si="29"/>
        <v>0.0012433392539964476</v>
      </c>
      <c r="AC123" s="38">
        <f t="shared" si="21"/>
        <v>0.0012408132098883269</v>
      </c>
      <c r="AD123" s="38">
        <f t="shared" si="21"/>
        <v>0.001282818780466946</v>
      </c>
      <c r="AE123" s="38">
        <f t="shared" si="21"/>
        <v>0.0016917460600124655</v>
      </c>
      <c r="AF123" s="38">
        <f t="shared" si="21"/>
        <v>0.0011376564277588168</v>
      </c>
      <c r="AG123" s="38">
        <f t="shared" si="21"/>
        <v>0.0014010219218724247</v>
      </c>
    </row>
    <row r="124" spans="2:33" ht="12.75">
      <c r="B124" s="33" t="s">
        <v>35</v>
      </c>
      <c r="C124" s="38">
        <f t="shared" si="19"/>
        <v>0.209190745282013</v>
      </c>
      <c r="D124" s="38">
        <f aca="true" t="shared" si="30" ref="D124:AB124">D106/D$108</f>
        <v>0.20458190148911798</v>
      </c>
      <c r="E124" s="38">
        <f t="shared" si="30"/>
        <v>0.2073986194995686</v>
      </c>
      <c r="F124" s="38">
        <f t="shared" si="30"/>
        <v>0.2028358047407728</v>
      </c>
      <c r="G124" s="38">
        <f t="shared" si="30"/>
        <v>0.20782823094308608</v>
      </c>
      <c r="H124" s="38">
        <f t="shared" si="30"/>
        <v>0.20004053506282934</v>
      </c>
      <c r="I124" s="38">
        <f t="shared" si="30"/>
        <v>0.20539287971350326</v>
      </c>
      <c r="J124" s="38">
        <f t="shared" si="30"/>
        <v>0.20162885398487493</v>
      </c>
      <c r="K124" s="38">
        <f t="shared" si="30"/>
        <v>0.2001569174439892</v>
      </c>
      <c r="L124" s="38">
        <f t="shared" si="30"/>
        <v>0.19525382997897267</v>
      </c>
      <c r="M124" s="38">
        <f t="shared" si="30"/>
        <v>0.1951219512195122</v>
      </c>
      <c r="N124" s="38">
        <f t="shared" si="30"/>
        <v>0.1928745729624207</v>
      </c>
      <c r="O124" s="38">
        <f t="shared" si="30"/>
        <v>0.19584124762571228</v>
      </c>
      <c r="P124" s="38">
        <f t="shared" si="30"/>
        <v>0.19012655782050045</v>
      </c>
      <c r="Q124" s="38">
        <f t="shared" si="30"/>
        <v>0.18889857599535018</v>
      </c>
      <c r="R124" s="38">
        <f t="shared" si="30"/>
        <v>0.1864964209711743</v>
      </c>
      <c r="S124" s="38">
        <f t="shared" si="30"/>
        <v>0.18728312857544782</v>
      </c>
      <c r="T124" s="38">
        <f t="shared" si="30"/>
        <v>0.18057455540355677</v>
      </c>
      <c r="U124" s="38">
        <f t="shared" si="30"/>
        <v>0.1865025956546818</v>
      </c>
      <c r="V124" s="38">
        <f t="shared" si="30"/>
        <v>0.17893810501613377</v>
      </c>
      <c r="W124" s="38">
        <f t="shared" si="30"/>
        <v>0.1832474451917198</v>
      </c>
      <c r="X124" s="38">
        <f t="shared" si="30"/>
        <v>0.17976753349093774</v>
      </c>
      <c r="Y124" s="38">
        <f t="shared" si="30"/>
        <v>0.18035343035343035</v>
      </c>
      <c r="Z124" s="38">
        <f t="shared" si="30"/>
        <v>0.1805823539729872</v>
      </c>
      <c r="AA124" s="38">
        <f t="shared" si="30"/>
        <v>0.17486851990984223</v>
      </c>
      <c r="AB124" s="38">
        <f t="shared" si="30"/>
        <v>0.1724689165186501</v>
      </c>
      <c r="AC124" s="38">
        <f t="shared" si="21"/>
        <v>0.17295027202443447</v>
      </c>
      <c r="AD124" s="38">
        <f t="shared" si="21"/>
        <v>0.1662533139485162</v>
      </c>
      <c r="AE124" s="38">
        <f t="shared" si="21"/>
        <v>0.16623631021280386</v>
      </c>
      <c r="AF124" s="38">
        <f t="shared" si="21"/>
        <v>0.16524459613196815</v>
      </c>
      <c r="AG124" s="38">
        <f t="shared" si="21"/>
        <v>0.16326026042525135</v>
      </c>
    </row>
    <row r="125" spans="2:33" ht="13.5" thickBot="1">
      <c r="B125" s="35" t="s">
        <v>72</v>
      </c>
      <c r="C125" s="39">
        <f t="shared" si="19"/>
        <v>0</v>
      </c>
      <c r="D125" s="39">
        <f aca="true" t="shared" si="31" ref="D125:AG125">D107/D$108</f>
        <v>0</v>
      </c>
      <c r="E125" s="39">
        <f t="shared" si="31"/>
        <v>0</v>
      </c>
      <c r="F125" s="39">
        <f t="shared" si="31"/>
        <v>0</v>
      </c>
      <c r="G125" s="39">
        <f t="shared" si="31"/>
        <v>0</v>
      </c>
      <c r="H125" s="39">
        <f t="shared" si="31"/>
        <v>0</v>
      </c>
      <c r="I125" s="39">
        <f t="shared" si="31"/>
        <v>0</v>
      </c>
      <c r="J125" s="39">
        <f t="shared" si="31"/>
        <v>0</v>
      </c>
      <c r="K125" s="39">
        <f t="shared" si="31"/>
        <v>0</v>
      </c>
      <c r="L125" s="39">
        <f t="shared" si="31"/>
        <v>0</v>
      </c>
      <c r="M125" s="39">
        <f t="shared" si="31"/>
        <v>0</v>
      </c>
      <c r="N125" s="39">
        <f t="shared" si="31"/>
        <v>0</v>
      </c>
      <c r="O125" s="39">
        <f t="shared" si="31"/>
        <v>0</v>
      </c>
      <c r="P125" s="39">
        <f t="shared" si="31"/>
        <v>0</v>
      </c>
      <c r="Q125" s="39">
        <f t="shared" si="31"/>
        <v>0</v>
      </c>
      <c r="R125" s="39">
        <f t="shared" si="31"/>
        <v>0</v>
      </c>
      <c r="S125" s="39">
        <f t="shared" si="31"/>
        <v>0</v>
      </c>
      <c r="T125" s="39">
        <f t="shared" si="31"/>
        <v>0</v>
      </c>
      <c r="U125" s="39">
        <f t="shared" si="31"/>
        <v>0</v>
      </c>
      <c r="V125" s="39">
        <f t="shared" si="31"/>
        <v>0</v>
      </c>
      <c r="W125" s="39">
        <f t="shared" si="31"/>
        <v>0</v>
      </c>
      <c r="X125" s="39">
        <f t="shared" si="31"/>
        <v>0</v>
      </c>
      <c r="Y125" s="39">
        <f t="shared" si="31"/>
        <v>0</v>
      </c>
      <c r="Z125" s="39">
        <f t="shared" si="31"/>
        <v>0</v>
      </c>
      <c r="AA125" s="39">
        <f t="shared" si="31"/>
        <v>0</v>
      </c>
      <c r="AB125" s="39">
        <f t="shared" si="31"/>
        <v>0</v>
      </c>
      <c r="AC125" s="39">
        <f t="shared" si="31"/>
        <v>0</v>
      </c>
      <c r="AD125" s="39">
        <f t="shared" si="31"/>
        <v>0</v>
      </c>
      <c r="AE125" s="39">
        <f t="shared" si="31"/>
        <v>0</v>
      </c>
      <c r="AF125" s="39">
        <f t="shared" si="31"/>
        <v>0</v>
      </c>
      <c r="AG125" s="39">
        <f t="shared" si="31"/>
        <v>0.00024723916268336906</v>
      </c>
    </row>
    <row r="126" spans="2:33" ht="13.5" thickTop="1">
      <c r="B126" s="37" t="s">
        <v>36</v>
      </c>
      <c r="C126" s="51">
        <f t="shared" si="19"/>
        <v>1</v>
      </c>
      <c r="D126" s="51">
        <f aca="true" t="shared" si="32" ref="D126:AB126">D108/D$108</f>
        <v>1</v>
      </c>
      <c r="E126" s="51">
        <f t="shared" si="32"/>
        <v>1</v>
      </c>
      <c r="F126" s="51">
        <f t="shared" si="32"/>
        <v>1</v>
      </c>
      <c r="G126" s="51">
        <f t="shared" si="32"/>
        <v>1</v>
      </c>
      <c r="H126" s="51">
        <f t="shared" si="32"/>
        <v>1</v>
      </c>
      <c r="I126" s="51">
        <f t="shared" si="32"/>
        <v>1</v>
      </c>
      <c r="J126" s="51">
        <f t="shared" si="32"/>
        <v>1</v>
      </c>
      <c r="K126" s="51">
        <f t="shared" si="32"/>
        <v>1</v>
      </c>
      <c r="L126" s="51">
        <f t="shared" si="32"/>
        <v>1</v>
      </c>
      <c r="M126" s="51">
        <f t="shared" si="32"/>
        <v>1</v>
      </c>
      <c r="N126" s="51">
        <f t="shared" si="32"/>
        <v>1</v>
      </c>
      <c r="O126" s="51">
        <f t="shared" si="32"/>
        <v>1</v>
      </c>
      <c r="P126" s="51">
        <f t="shared" si="32"/>
        <v>1</v>
      </c>
      <c r="Q126" s="51">
        <f t="shared" si="32"/>
        <v>1</v>
      </c>
      <c r="R126" s="51">
        <f t="shared" si="32"/>
        <v>1</v>
      </c>
      <c r="S126" s="51">
        <f t="shared" si="32"/>
        <v>1</v>
      </c>
      <c r="T126" s="51">
        <f t="shared" si="32"/>
        <v>1</v>
      </c>
      <c r="U126" s="51">
        <f t="shared" si="32"/>
        <v>1</v>
      </c>
      <c r="V126" s="51">
        <f t="shared" si="32"/>
        <v>1</v>
      </c>
      <c r="W126" s="51">
        <f t="shared" si="32"/>
        <v>1</v>
      </c>
      <c r="X126" s="51">
        <f t="shared" si="32"/>
        <v>1</v>
      </c>
      <c r="Y126" s="51">
        <f t="shared" si="32"/>
        <v>1</v>
      </c>
      <c r="Z126" s="51">
        <f t="shared" si="32"/>
        <v>1</v>
      </c>
      <c r="AA126" s="51">
        <f t="shared" si="32"/>
        <v>1</v>
      </c>
      <c r="AB126" s="51">
        <f t="shared" si="32"/>
        <v>1</v>
      </c>
      <c r="AC126" s="51">
        <f aca="true" t="shared" si="33" ref="AC126:AG127">AC108/AC$108</f>
        <v>1</v>
      </c>
      <c r="AD126" s="51">
        <f t="shared" si="33"/>
        <v>1</v>
      </c>
      <c r="AE126" s="51">
        <f t="shared" si="33"/>
        <v>1</v>
      </c>
      <c r="AF126" s="51">
        <f t="shared" si="33"/>
        <v>1</v>
      </c>
      <c r="AG126" s="51">
        <f t="shared" si="33"/>
        <v>1</v>
      </c>
    </row>
    <row r="127" spans="2:33" ht="13.5" thickBot="1">
      <c r="B127" s="52" t="s">
        <v>37</v>
      </c>
      <c r="C127" s="53">
        <f t="shared" si="19"/>
        <v>0.4643352169740911</v>
      </c>
      <c r="D127" s="53">
        <f aca="true" t="shared" si="34" ref="D127:AB127">D109/D$108</f>
        <v>0.4588774341351661</v>
      </c>
      <c r="E127" s="53">
        <f t="shared" si="34"/>
        <v>0.4646246764452114</v>
      </c>
      <c r="F127" s="53">
        <f t="shared" si="34"/>
        <v>0.4587076523433272</v>
      </c>
      <c r="G127" s="53">
        <f t="shared" si="34"/>
        <v>0.4547976166016026</v>
      </c>
      <c r="H127" s="53">
        <f t="shared" si="34"/>
        <v>0.45125658694770976</v>
      </c>
      <c r="I127" s="53">
        <f t="shared" si="34"/>
        <v>0.44533389509163684</v>
      </c>
      <c r="J127" s="53">
        <f t="shared" si="34"/>
        <v>0.437696335078534</v>
      </c>
      <c r="K127" s="53">
        <f t="shared" si="34"/>
        <v>0.4377124923720687</v>
      </c>
      <c r="L127" s="53">
        <f t="shared" si="34"/>
        <v>0.42685491138480025</v>
      </c>
      <c r="M127" s="53">
        <f t="shared" si="34"/>
        <v>0.4276735459662289</v>
      </c>
      <c r="N127" s="53">
        <f t="shared" si="34"/>
        <v>0.4337725719863348</v>
      </c>
      <c r="O127" s="53">
        <f t="shared" si="34"/>
        <v>0.422073377986604</v>
      </c>
      <c r="P127" s="53">
        <f t="shared" si="34"/>
        <v>0.42372717611824945</v>
      </c>
      <c r="Q127" s="53">
        <f t="shared" si="34"/>
        <v>0.43059188220478545</v>
      </c>
      <c r="R127" s="53">
        <f t="shared" si="34"/>
        <v>0.4219384793964016</v>
      </c>
      <c r="S127" s="53">
        <f t="shared" si="34"/>
        <v>0.41451749038732066</v>
      </c>
      <c r="T127" s="53">
        <f t="shared" si="34"/>
        <v>0.4198814409484724</v>
      </c>
      <c r="U127" s="53">
        <f t="shared" si="34"/>
        <v>0.41395885406652566</v>
      </c>
      <c r="V127" s="53">
        <f t="shared" si="34"/>
        <v>0.40295296763469246</v>
      </c>
      <c r="W127" s="53">
        <f t="shared" si="34"/>
        <v>0.4036160363350511</v>
      </c>
      <c r="X127" s="53">
        <f t="shared" si="34"/>
        <v>0.3890858944050433</v>
      </c>
      <c r="Y127" s="53">
        <f t="shared" si="34"/>
        <v>0.3873007623007623</v>
      </c>
      <c r="Z127" s="53">
        <f t="shared" si="34"/>
        <v>0.3827398701982108</v>
      </c>
      <c r="AA127" s="53">
        <f t="shared" si="34"/>
        <v>0.3785687453042825</v>
      </c>
      <c r="AB127" s="53">
        <f t="shared" si="34"/>
        <v>0.37850799289520426</v>
      </c>
      <c r="AC127" s="53">
        <f t="shared" si="33"/>
        <v>0.3718621742865324</v>
      </c>
      <c r="AD127" s="53">
        <f t="shared" si="33"/>
        <v>0.38356281535961684</v>
      </c>
      <c r="AE127" s="53">
        <f t="shared" si="33"/>
        <v>0.38144421689965274</v>
      </c>
      <c r="AF127" s="53">
        <f t="shared" si="33"/>
        <v>0.37495259764884337</v>
      </c>
      <c r="AG127" s="53">
        <f t="shared" si="33"/>
        <v>0.38379759353881654</v>
      </c>
    </row>
    <row r="128" ht="13.5" thickTop="1"/>
    <row r="132" spans="2:33" ht="13.5" thickBot="1">
      <c r="B132" s="71" t="s">
        <v>41</v>
      </c>
      <c r="C132" s="84">
        <v>38169</v>
      </c>
      <c r="D132" s="84">
        <v>38200</v>
      </c>
      <c r="E132" s="84">
        <v>38231</v>
      </c>
      <c r="F132" s="84">
        <v>38261</v>
      </c>
      <c r="G132" s="84">
        <v>38292</v>
      </c>
      <c r="H132" s="84">
        <v>38322</v>
      </c>
      <c r="I132" s="84">
        <v>38353</v>
      </c>
      <c r="J132" s="84">
        <v>38384</v>
      </c>
      <c r="K132" s="84">
        <v>38412</v>
      </c>
      <c r="L132" s="84">
        <v>38443</v>
      </c>
      <c r="M132" s="84">
        <v>38473</v>
      </c>
      <c r="N132" s="84">
        <v>38504</v>
      </c>
      <c r="O132" s="84">
        <v>38534</v>
      </c>
      <c r="P132" s="84">
        <v>38565</v>
      </c>
      <c r="Q132" s="84">
        <v>38596</v>
      </c>
      <c r="R132" s="84">
        <v>38626</v>
      </c>
      <c r="S132" s="84">
        <v>38657</v>
      </c>
      <c r="T132" s="84">
        <v>38687</v>
      </c>
      <c r="U132" s="84">
        <v>38718</v>
      </c>
      <c r="V132" s="84">
        <v>38749</v>
      </c>
      <c r="W132" s="84">
        <v>38777</v>
      </c>
      <c r="X132" s="84">
        <v>38808</v>
      </c>
      <c r="Y132" s="84">
        <v>38838</v>
      </c>
      <c r="Z132" s="84">
        <v>38869</v>
      </c>
      <c r="AA132" s="84">
        <v>38899</v>
      </c>
      <c r="AB132" s="84">
        <v>38930</v>
      </c>
      <c r="AC132" s="84">
        <v>38961</v>
      </c>
      <c r="AD132" s="84">
        <v>38991</v>
      </c>
      <c r="AE132" s="84">
        <v>39022</v>
      </c>
      <c r="AF132" s="84">
        <v>39052</v>
      </c>
      <c r="AG132" s="84">
        <v>39083</v>
      </c>
    </row>
    <row r="133" spans="2:33" ht="13.5" thickTop="1">
      <c r="B133" s="74" t="s">
        <v>1</v>
      </c>
      <c r="C133" s="75">
        <f aca="true" t="shared" si="35" ref="C133:C161">C66/C$108</f>
        <v>0</v>
      </c>
      <c r="D133" s="75">
        <f aca="true" t="shared" si="36" ref="D133:AG133">D66/D$108</f>
        <v>0</v>
      </c>
      <c r="E133" s="75">
        <f t="shared" si="36"/>
        <v>0</v>
      </c>
      <c r="F133" s="75">
        <f t="shared" si="36"/>
        <v>0</v>
      </c>
      <c r="G133" s="75">
        <f t="shared" si="36"/>
        <v>0</v>
      </c>
      <c r="H133" s="75">
        <f t="shared" si="36"/>
        <v>0</v>
      </c>
      <c r="I133" s="75">
        <f t="shared" si="36"/>
        <v>0</v>
      </c>
      <c r="J133" s="75">
        <f t="shared" si="36"/>
        <v>0</v>
      </c>
      <c r="K133" s="75">
        <f t="shared" si="36"/>
        <v>0</v>
      </c>
      <c r="L133" s="75">
        <f t="shared" si="36"/>
        <v>0</v>
      </c>
      <c r="M133" s="75">
        <f t="shared" si="36"/>
        <v>0</v>
      </c>
      <c r="N133" s="75">
        <f t="shared" si="36"/>
        <v>0</v>
      </c>
      <c r="O133" s="75">
        <f t="shared" si="36"/>
        <v>0</v>
      </c>
      <c r="P133" s="75">
        <f t="shared" si="36"/>
        <v>0</v>
      </c>
      <c r="Q133" s="75">
        <f t="shared" si="36"/>
        <v>0</v>
      </c>
      <c r="R133" s="75">
        <f t="shared" si="36"/>
        <v>0</v>
      </c>
      <c r="S133" s="75">
        <f t="shared" si="36"/>
        <v>0</v>
      </c>
      <c r="T133" s="75">
        <f t="shared" si="36"/>
        <v>9.119927040583675E-05</v>
      </c>
      <c r="U133" s="75">
        <f t="shared" si="36"/>
        <v>0.0007690828686791001</v>
      </c>
      <c r="V133" s="75">
        <f t="shared" si="36"/>
        <v>0.0013689253935660506</v>
      </c>
      <c r="W133" s="75">
        <f t="shared" si="36"/>
        <v>0.0013975019652371387</v>
      </c>
      <c r="X133" s="75">
        <f t="shared" si="36"/>
        <v>0.0020685579196217494</v>
      </c>
      <c r="Y133" s="75">
        <f t="shared" si="36"/>
        <v>0.0019057519057519058</v>
      </c>
      <c r="Z133" s="75">
        <f t="shared" si="36"/>
        <v>0.002280301701455885</v>
      </c>
      <c r="AA133" s="75">
        <f t="shared" si="36"/>
        <v>0.0019722013523666418</v>
      </c>
      <c r="AB133" s="75">
        <f t="shared" si="36"/>
        <v>0.0023978685612788633</v>
      </c>
      <c r="AC133" s="75">
        <f t="shared" si="36"/>
        <v>0.0033406509496993414</v>
      </c>
      <c r="AD133" s="75">
        <f t="shared" si="36"/>
        <v>0.003933977593431968</v>
      </c>
      <c r="AE133" s="75">
        <f t="shared" si="36"/>
        <v>0.003561570652657822</v>
      </c>
      <c r="AF133" s="75">
        <f t="shared" si="36"/>
        <v>0.003223359878649981</v>
      </c>
      <c r="AG133" s="75">
        <f t="shared" si="36"/>
        <v>0.0031316960606560078</v>
      </c>
    </row>
    <row r="134" spans="2:33" ht="12.75">
      <c r="B134" s="73" t="s">
        <v>2</v>
      </c>
      <c r="C134" s="75">
        <f t="shared" si="35"/>
        <v>0.15150868962575967</v>
      </c>
      <c r="D134" s="75">
        <f aca="true" t="shared" si="37" ref="D134:AG134">D67/D$108</f>
        <v>0.15429553264604812</v>
      </c>
      <c r="E134" s="75">
        <f t="shared" si="37"/>
        <v>0.15066867989646246</v>
      </c>
      <c r="F134" s="75">
        <f t="shared" si="37"/>
        <v>0.14806797272432082</v>
      </c>
      <c r="G134" s="75">
        <f t="shared" si="37"/>
        <v>0.14536675570166427</v>
      </c>
      <c r="H134" s="75">
        <f t="shared" si="37"/>
        <v>0.145216862586137</v>
      </c>
      <c r="I134" s="75">
        <f t="shared" si="37"/>
        <v>0.14714556562039183</v>
      </c>
      <c r="J134" s="75">
        <f t="shared" si="37"/>
        <v>0.13961605584642234</v>
      </c>
      <c r="K134" s="75">
        <f t="shared" si="37"/>
        <v>0.14070264144364047</v>
      </c>
      <c r="L134" s="75">
        <f t="shared" si="37"/>
        <v>0.13697807149294083</v>
      </c>
      <c r="M134" s="75">
        <f t="shared" si="37"/>
        <v>0.13864915572232644</v>
      </c>
      <c r="N134" s="75">
        <f t="shared" si="37"/>
        <v>0.14280136652025377</v>
      </c>
      <c r="O134" s="75">
        <f t="shared" si="37"/>
        <v>0.1367589723083075</v>
      </c>
      <c r="P134" s="75">
        <f t="shared" si="37"/>
        <v>0.14317457250507198</v>
      </c>
      <c r="Q134" s="75">
        <f t="shared" si="37"/>
        <v>0.14104427007652814</v>
      </c>
      <c r="R134" s="75">
        <f t="shared" si="37"/>
        <v>0.13861481911394855</v>
      </c>
      <c r="S134" s="75">
        <f t="shared" si="37"/>
        <v>0.14301791240739004</v>
      </c>
      <c r="T134" s="75">
        <f t="shared" si="37"/>
        <v>0.13999088007295943</v>
      </c>
      <c r="U134" s="75">
        <f t="shared" si="37"/>
        <v>0.13747356277638917</v>
      </c>
      <c r="V134" s="75">
        <f t="shared" si="37"/>
        <v>0.1354258335777843</v>
      </c>
      <c r="W134" s="75">
        <f t="shared" si="37"/>
        <v>0.13162721635077299</v>
      </c>
      <c r="X134" s="75">
        <f t="shared" si="37"/>
        <v>0.12903861308116626</v>
      </c>
      <c r="Y134" s="75">
        <f t="shared" si="37"/>
        <v>0.12603950103950104</v>
      </c>
      <c r="Z134" s="75">
        <f t="shared" si="37"/>
        <v>0.12988949307139097</v>
      </c>
      <c r="AA134" s="75">
        <f t="shared" si="37"/>
        <v>0.12819308790383172</v>
      </c>
      <c r="AB134" s="75">
        <f t="shared" si="37"/>
        <v>0.12326820603907637</v>
      </c>
      <c r="AC134" s="75">
        <f t="shared" si="37"/>
        <v>0.12742197193853202</v>
      </c>
      <c r="AD134" s="75">
        <f t="shared" si="37"/>
        <v>0.12862396305481913</v>
      </c>
      <c r="AE134" s="75">
        <f t="shared" si="37"/>
        <v>0.12892885762621317</v>
      </c>
      <c r="AF134" s="75">
        <f t="shared" si="37"/>
        <v>0.1263746681835419</v>
      </c>
      <c r="AG134" s="75">
        <f t="shared" si="37"/>
        <v>0.12930608208340202</v>
      </c>
    </row>
    <row r="135" spans="2:33" ht="12.75">
      <c r="B135" s="73" t="s">
        <v>3</v>
      </c>
      <c r="C135" s="75">
        <f t="shared" si="35"/>
        <v>0.025589081991683547</v>
      </c>
      <c r="D135" s="75">
        <f aca="true" t="shared" si="38" ref="D135:AG135">D68/D$108</f>
        <v>0.02542955326460481</v>
      </c>
      <c r="E135" s="75">
        <f t="shared" si="38"/>
        <v>0.026962899050905955</v>
      </c>
      <c r="F135" s="75">
        <f t="shared" si="38"/>
        <v>0.026085074142223184</v>
      </c>
      <c r="G135" s="75">
        <f t="shared" si="38"/>
        <v>0.025785905074994862</v>
      </c>
      <c r="H135" s="75">
        <f t="shared" si="38"/>
        <v>0.026651803810295905</v>
      </c>
      <c r="I135" s="75">
        <f t="shared" si="38"/>
        <v>0.026964398567516326</v>
      </c>
      <c r="J135" s="75">
        <f t="shared" si="38"/>
        <v>0.02803955788248982</v>
      </c>
      <c r="K135" s="75">
        <f t="shared" si="38"/>
        <v>0.02850666899136954</v>
      </c>
      <c r="L135" s="75">
        <f t="shared" si="38"/>
        <v>0.027836187043156102</v>
      </c>
      <c r="M135" s="75">
        <f t="shared" si="38"/>
        <v>0.026078799249530958</v>
      </c>
      <c r="N135" s="75">
        <f t="shared" si="38"/>
        <v>0.027232796486090775</v>
      </c>
      <c r="O135" s="75">
        <f t="shared" si="38"/>
        <v>0.02749175247425772</v>
      </c>
      <c r="P135" s="75">
        <f t="shared" si="38"/>
        <v>0.027920007728721864</v>
      </c>
      <c r="Q135" s="75">
        <f t="shared" si="38"/>
        <v>0.026542671703962028</v>
      </c>
      <c r="R135" s="75">
        <f t="shared" si="38"/>
        <v>0.02795511704391565</v>
      </c>
      <c r="S135" s="75">
        <f t="shared" si="38"/>
        <v>0.02550876863921973</v>
      </c>
      <c r="T135" s="75">
        <f t="shared" si="38"/>
        <v>0.02635658914728682</v>
      </c>
      <c r="U135" s="75">
        <f t="shared" si="38"/>
        <v>0.027302441838108055</v>
      </c>
      <c r="V135" s="75">
        <f t="shared" si="38"/>
        <v>0.0262051432482644</v>
      </c>
      <c r="W135" s="75">
        <f t="shared" si="38"/>
        <v>0.028386758668879377</v>
      </c>
      <c r="X135" s="75">
        <f t="shared" si="38"/>
        <v>0.02492119779353822</v>
      </c>
      <c r="Y135" s="75">
        <f t="shared" si="38"/>
        <v>0.02694040194040194</v>
      </c>
      <c r="Z135" s="75">
        <f t="shared" si="38"/>
        <v>0.026223469566742676</v>
      </c>
      <c r="AA135" s="75">
        <f t="shared" si="38"/>
        <v>0.026483846731780617</v>
      </c>
      <c r="AB135" s="75">
        <f t="shared" si="38"/>
        <v>0.025310834813499113</v>
      </c>
      <c r="AC135" s="75">
        <f t="shared" si="38"/>
        <v>0.025484394387706406</v>
      </c>
      <c r="AD135" s="75">
        <f t="shared" si="38"/>
        <v>0.02634054562558796</v>
      </c>
      <c r="AE135" s="75">
        <f t="shared" si="38"/>
        <v>0.0259994657644021</v>
      </c>
      <c r="AF135" s="75">
        <f t="shared" si="38"/>
        <v>0.026450511945392493</v>
      </c>
      <c r="AG135" s="75">
        <f t="shared" si="38"/>
        <v>0.02538322070215922</v>
      </c>
    </row>
    <row r="136" spans="2:33" ht="12.75">
      <c r="B136" s="73" t="s">
        <v>42</v>
      </c>
      <c r="C136" s="75">
        <f t="shared" si="35"/>
        <v>0</v>
      </c>
      <c r="D136" s="75">
        <f aca="true" t="shared" si="39" ref="D136:AG136">D69/D$108</f>
        <v>0</v>
      </c>
      <c r="E136" s="75">
        <f t="shared" si="39"/>
        <v>0</v>
      </c>
      <c r="F136" s="75">
        <f t="shared" si="39"/>
        <v>0</v>
      </c>
      <c r="G136" s="75">
        <f t="shared" si="39"/>
        <v>0</v>
      </c>
      <c r="H136" s="75">
        <f t="shared" si="39"/>
        <v>0</v>
      </c>
      <c r="I136" s="75">
        <f t="shared" si="39"/>
        <v>0</v>
      </c>
      <c r="J136" s="75">
        <f t="shared" si="39"/>
        <v>0</v>
      </c>
      <c r="K136" s="75">
        <f t="shared" si="39"/>
        <v>0</v>
      </c>
      <c r="L136" s="75">
        <f t="shared" si="39"/>
        <v>0</v>
      </c>
      <c r="M136" s="75">
        <f t="shared" si="39"/>
        <v>0</v>
      </c>
      <c r="N136" s="75">
        <f t="shared" si="39"/>
        <v>0</v>
      </c>
      <c r="O136" s="75">
        <f t="shared" si="39"/>
        <v>0</v>
      </c>
      <c r="P136" s="75">
        <f t="shared" si="39"/>
        <v>0</v>
      </c>
      <c r="Q136" s="75">
        <f t="shared" si="39"/>
        <v>0</v>
      </c>
      <c r="R136" s="75">
        <f t="shared" si="39"/>
        <v>0</v>
      </c>
      <c r="S136" s="75">
        <f t="shared" si="39"/>
        <v>0</v>
      </c>
      <c r="T136" s="75">
        <f t="shared" si="39"/>
        <v>0</v>
      </c>
      <c r="U136" s="75">
        <f t="shared" si="39"/>
        <v>0</v>
      </c>
      <c r="V136" s="75">
        <f t="shared" si="39"/>
        <v>0</v>
      </c>
      <c r="W136" s="75">
        <f t="shared" si="39"/>
        <v>0</v>
      </c>
      <c r="X136" s="75">
        <f t="shared" si="39"/>
        <v>0</v>
      </c>
      <c r="Y136" s="75">
        <f t="shared" si="39"/>
        <v>0</v>
      </c>
      <c r="Z136" s="75">
        <f t="shared" si="39"/>
        <v>0</v>
      </c>
      <c r="AA136" s="75">
        <f t="shared" si="39"/>
        <v>0</v>
      </c>
      <c r="AB136" s="75">
        <f t="shared" si="39"/>
        <v>0</v>
      </c>
      <c r="AC136" s="75">
        <f t="shared" si="39"/>
        <v>9.544716999140975E-05</v>
      </c>
      <c r="AD136" s="75">
        <f t="shared" si="39"/>
        <v>0.0005131275121867784</v>
      </c>
      <c r="AE136" s="75">
        <f t="shared" si="39"/>
        <v>0.00080135339684801</v>
      </c>
      <c r="AF136" s="75">
        <f t="shared" si="39"/>
        <v>0.0012324611300720517</v>
      </c>
      <c r="AG136" s="75">
        <f t="shared" si="39"/>
        <v>0.001813087193011373</v>
      </c>
    </row>
    <row r="137" spans="2:33" ht="12.75">
      <c r="B137" s="73" t="s">
        <v>4</v>
      </c>
      <c r="C137" s="75">
        <f t="shared" si="35"/>
        <v>0.2114297899562853</v>
      </c>
      <c r="D137" s="75">
        <f aca="true" t="shared" si="40" ref="D137:AG137">D70/D$108</f>
        <v>0.20664375715922106</v>
      </c>
      <c r="E137" s="75">
        <f t="shared" si="40"/>
        <v>0.21117342536669542</v>
      </c>
      <c r="F137" s="75">
        <f t="shared" si="40"/>
        <v>0.20781469856045026</v>
      </c>
      <c r="G137" s="75">
        <f t="shared" si="40"/>
        <v>0.20834189439079515</v>
      </c>
      <c r="H137" s="75">
        <f t="shared" si="40"/>
        <v>0.20328334008917714</v>
      </c>
      <c r="I137" s="75">
        <f t="shared" si="40"/>
        <v>0.19928375816305036</v>
      </c>
      <c r="J137" s="75">
        <f t="shared" si="40"/>
        <v>0.19453170447934845</v>
      </c>
      <c r="K137" s="75">
        <f t="shared" si="40"/>
        <v>0.19170081074012726</v>
      </c>
      <c r="L137" s="75">
        <f t="shared" si="40"/>
        <v>0.18914588965655352</v>
      </c>
      <c r="M137" s="75">
        <f t="shared" si="40"/>
        <v>0.18667917448405252</v>
      </c>
      <c r="N137" s="75">
        <f t="shared" si="40"/>
        <v>0.18789653489507077</v>
      </c>
      <c r="O137" s="75">
        <f t="shared" si="40"/>
        <v>0.1869439168249525</v>
      </c>
      <c r="P137" s="75">
        <f t="shared" si="40"/>
        <v>0.17901652014298136</v>
      </c>
      <c r="Q137" s="75">
        <f t="shared" si="40"/>
        <v>0.1877361232199942</v>
      </c>
      <c r="R137" s="75">
        <f t="shared" si="40"/>
        <v>0.181563165022248</v>
      </c>
      <c r="S137" s="75">
        <f t="shared" si="40"/>
        <v>0.1767795179592985</v>
      </c>
      <c r="T137" s="75">
        <f t="shared" si="40"/>
        <v>0.17975376196990425</v>
      </c>
      <c r="U137" s="75">
        <f t="shared" si="40"/>
        <v>0.17602384156892906</v>
      </c>
      <c r="V137" s="75">
        <f t="shared" si="40"/>
        <v>0.17199569766304879</v>
      </c>
      <c r="W137" s="75">
        <f t="shared" si="40"/>
        <v>0.17066992750458557</v>
      </c>
      <c r="X137" s="75">
        <f t="shared" si="40"/>
        <v>0.1652876280535855</v>
      </c>
      <c r="Y137" s="75">
        <f t="shared" si="40"/>
        <v>0.16571379071379072</v>
      </c>
      <c r="Z137" s="75">
        <f t="shared" si="40"/>
        <v>0.1562006665497281</v>
      </c>
      <c r="AA137" s="75">
        <f t="shared" si="40"/>
        <v>0.15467693463561233</v>
      </c>
      <c r="AB137" s="75">
        <f t="shared" si="40"/>
        <v>0.15959147424511547</v>
      </c>
      <c r="AC137" s="75">
        <f t="shared" si="40"/>
        <v>0.15099742292641022</v>
      </c>
      <c r="AD137" s="75">
        <f t="shared" si="40"/>
        <v>0.1570170187291542</v>
      </c>
      <c r="AE137" s="75">
        <f t="shared" si="40"/>
        <v>0.15279138099902057</v>
      </c>
      <c r="AF137" s="75">
        <f t="shared" si="40"/>
        <v>0.14979142965491088</v>
      </c>
      <c r="AG137" s="75">
        <f t="shared" si="40"/>
        <v>0.15164001977913302</v>
      </c>
    </row>
    <row r="138" spans="2:33" ht="12.75">
      <c r="B138" s="73" t="s">
        <v>5</v>
      </c>
      <c r="C138" s="75">
        <f t="shared" si="35"/>
        <v>0.07580765540036251</v>
      </c>
      <c r="D138" s="75">
        <f aca="true" t="shared" si="41" ref="D138:AG138">D71/D$108</f>
        <v>0.0725085910652921</v>
      </c>
      <c r="E138" s="75">
        <f t="shared" si="41"/>
        <v>0.07581967213114754</v>
      </c>
      <c r="F138" s="75">
        <f t="shared" si="41"/>
        <v>0.07673990691633294</v>
      </c>
      <c r="G138" s="75">
        <f t="shared" si="41"/>
        <v>0.07530306143414835</v>
      </c>
      <c r="H138" s="75">
        <f t="shared" si="41"/>
        <v>0.07610458046209971</v>
      </c>
      <c r="I138" s="75">
        <f t="shared" si="41"/>
        <v>0.07194017274067832</v>
      </c>
      <c r="J138" s="75">
        <f t="shared" si="41"/>
        <v>0.07550901687027342</v>
      </c>
      <c r="K138" s="75">
        <f t="shared" si="41"/>
        <v>0.0768023711969314</v>
      </c>
      <c r="L138" s="75">
        <f t="shared" si="41"/>
        <v>0.0728947631921498</v>
      </c>
      <c r="M138" s="75">
        <f t="shared" si="41"/>
        <v>0.07626641651031894</v>
      </c>
      <c r="N138" s="75">
        <f t="shared" si="41"/>
        <v>0.07584187408491948</v>
      </c>
      <c r="O138" s="75">
        <f t="shared" si="41"/>
        <v>0.07087873637908627</v>
      </c>
      <c r="P138" s="75">
        <f t="shared" si="41"/>
        <v>0.07361607574147426</v>
      </c>
      <c r="Q138" s="75">
        <f t="shared" si="41"/>
        <v>0.07526881720430108</v>
      </c>
      <c r="R138" s="75">
        <f t="shared" si="41"/>
        <v>0.07380537821628942</v>
      </c>
      <c r="S138" s="75">
        <f t="shared" si="41"/>
        <v>0.06921129138141235</v>
      </c>
      <c r="T138" s="75">
        <f t="shared" si="41"/>
        <v>0.0736890104879161</v>
      </c>
      <c r="U138" s="75">
        <f t="shared" si="41"/>
        <v>0.0723899250144203</v>
      </c>
      <c r="V138" s="75">
        <f t="shared" si="41"/>
        <v>0.06795736775202894</v>
      </c>
      <c r="W138" s="75">
        <f t="shared" si="41"/>
        <v>0.07153463184557603</v>
      </c>
      <c r="X138" s="75">
        <f t="shared" si="41"/>
        <v>0.0677698975571316</v>
      </c>
      <c r="Y138" s="75">
        <f t="shared" si="41"/>
        <v>0.0667013167013167</v>
      </c>
      <c r="Z138" s="75">
        <f t="shared" si="41"/>
        <v>0.06735660410454307</v>
      </c>
      <c r="AA138" s="75">
        <f t="shared" si="41"/>
        <v>0.06498873027798648</v>
      </c>
      <c r="AB138" s="75">
        <f t="shared" si="41"/>
        <v>0.06518650088809946</v>
      </c>
      <c r="AC138" s="75">
        <f t="shared" si="41"/>
        <v>0.06060895294454519</v>
      </c>
      <c r="AD138" s="75">
        <f t="shared" si="41"/>
        <v>0.0609766526981955</v>
      </c>
      <c r="AE138" s="75">
        <f t="shared" si="41"/>
        <v>0.06161517229098032</v>
      </c>
      <c r="AF138" s="75">
        <f t="shared" si="41"/>
        <v>0.05934774364808495</v>
      </c>
      <c r="AG138" s="75">
        <f t="shared" si="41"/>
        <v>0.06271633426734795</v>
      </c>
    </row>
    <row r="139" spans="2:33" ht="12.75">
      <c r="B139" s="73" t="s">
        <v>38</v>
      </c>
      <c r="C139" s="75">
        <f t="shared" si="35"/>
        <v>0</v>
      </c>
      <c r="D139" s="75">
        <f aca="true" t="shared" si="42" ref="D139:AG139">D72/D$108</f>
        <v>0</v>
      </c>
      <c r="E139" s="75">
        <f t="shared" si="42"/>
        <v>0</v>
      </c>
      <c r="F139" s="75">
        <f t="shared" si="42"/>
        <v>0</v>
      </c>
      <c r="G139" s="75">
        <f t="shared" si="42"/>
        <v>0</v>
      </c>
      <c r="H139" s="75">
        <f t="shared" si="42"/>
        <v>0</v>
      </c>
      <c r="I139" s="75">
        <f t="shared" si="42"/>
        <v>0</v>
      </c>
      <c r="J139" s="75">
        <f t="shared" si="42"/>
        <v>0</v>
      </c>
      <c r="K139" s="75">
        <f t="shared" si="42"/>
        <v>0</v>
      </c>
      <c r="L139" s="75">
        <f t="shared" si="42"/>
        <v>0</v>
      </c>
      <c r="M139" s="75">
        <f t="shared" si="42"/>
        <v>0</v>
      </c>
      <c r="N139" s="75">
        <f t="shared" si="42"/>
        <v>0</v>
      </c>
      <c r="O139" s="75">
        <f t="shared" si="42"/>
        <v>0</v>
      </c>
      <c r="P139" s="75">
        <f t="shared" si="42"/>
        <v>0</v>
      </c>
      <c r="Q139" s="75">
        <f t="shared" si="42"/>
        <v>0</v>
      </c>
      <c r="R139" s="75">
        <f t="shared" si="42"/>
        <v>0</v>
      </c>
      <c r="S139" s="75">
        <f t="shared" si="42"/>
        <v>0</v>
      </c>
      <c r="T139" s="75">
        <f t="shared" si="42"/>
        <v>0</v>
      </c>
      <c r="U139" s="75">
        <f t="shared" si="42"/>
        <v>0</v>
      </c>
      <c r="V139" s="75">
        <f t="shared" si="42"/>
        <v>0</v>
      </c>
      <c r="W139" s="75">
        <f t="shared" si="42"/>
        <v>0</v>
      </c>
      <c r="X139" s="75">
        <f t="shared" si="42"/>
        <v>0</v>
      </c>
      <c r="Y139" s="75">
        <f t="shared" si="42"/>
        <v>0</v>
      </c>
      <c r="Z139" s="75">
        <f t="shared" si="42"/>
        <v>0.000789335204350114</v>
      </c>
      <c r="AA139" s="75">
        <f t="shared" si="42"/>
        <v>0.002253944402704733</v>
      </c>
      <c r="AB139" s="75">
        <f t="shared" si="42"/>
        <v>0.002753108348134991</v>
      </c>
      <c r="AC139" s="75">
        <f t="shared" si="42"/>
        <v>0.0039133339696478</v>
      </c>
      <c r="AD139" s="75">
        <f t="shared" si="42"/>
        <v>0.006157530146241341</v>
      </c>
      <c r="AE139" s="75">
        <f t="shared" si="42"/>
        <v>0.0077464161695307635</v>
      </c>
      <c r="AF139" s="75">
        <f t="shared" si="42"/>
        <v>0.008532423208191127</v>
      </c>
      <c r="AG139" s="75">
        <f t="shared" si="42"/>
        <v>0.009807153453106973</v>
      </c>
    </row>
    <row r="140" spans="2:33" ht="12.75">
      <c r="B140" s="73" t="s">
        <v>6</v>
      </c>
      <c r="C140" s="75">
        <f t="shared" si="35"/>
        <v>0.011195223371361552</v>
      </c>
      <c r="D140" s="75">
        <f aca="true" t="shared" si="43" ref="D140:AG140">D73/D$108</f>
        <v>0.010652920962199313</v>
      </c>
      <c r="E140" s="75">
        <f t="shared" si="43"/>
        <v>0.010353753235547885</v>
      </c>
      <c r="F140" s="75">
        <f t="shared" si="43"/>
        <v>0.011473103149691525</v>
      </c>
      <c r="G140" s="75">
        <f t="shared" si="43"/>
        <v>0.009965070885555784</v>
      </c>
      <c r="H140" s="75">
        <f t="shared" si="43"/>
        <v>0.01246453182002432</v>
      </c>
      <c r="I140" s="75">
        <f t="shared" si="43"/>
        <v>0.012007583737097115</v>
      </c>
      <c r="J140" s="75">
        <f t="shared" si="43"/>
        <v>0.012914485165794066</v>
      </c>
      <c r="K140" s="75">
        <f t="shared" si="43"/>
        <v>0.011071397437015082</v>
      </c>
      <c r="L140" s="75">
        <f t="shared" si="43"/>
        <v>0.009812756583558626</v>
      </c>
      <c r="M140" s="75">
        <f t="shared" si="43"/>
        <v>0.011444652908067543</v>
      </c>
      <c r="N140" s="75">
        <f t="shared" si="43"/>
        <v>0.010346510492923377</v>
      </c>
      <c r="O140" s="75">
        <f t="shared" si="43"/>
        <v>0.011496551034689594</v>
      </c>
      <c r="P140" s="75">
        <f t="shared" si="43"/>
        <v>0.011689691817215728</v>
      </c>
      <c r="Q140" s="75">
        <f t="shared" si="43"/>
        <v>0.011915140947399011</v>
      </c>
      <c r="R140" s="75">
        <f t="shared" si="43"/>
        <v>0.012091313600309538</v>
      </c>
      <c r="S140" s="75">
        <f t="shared" si="43"/>
        <v>0.012097908656100534</v>
      </c>
      <c r="T140" s="75">
        <f t="shared" si="43"/>
        <v>0.012038303693570451</v>
      </c>
      <c r="U140" s="75">
        <f t="shared" si="43"/>
        <v>0.012305325898865602</v>
      </c>
      <c r="V140" s="75">
        <f t="shared" si="43"/>
        <v>0.012711450083113328</v>
      </c>
      <c r="W140" s="75">
        <f t="shared" si="43"/>
        <v>0.011704078958861035</v>
      </c>
      <c r="X140" s="75">
        <f t="shared" si="43"/>
        <v>0.012017336485421592</v>
      </c>
      <c r="Y140" s="75">
        <f t="shared" si="43"/>
        <v>0.011694386694386695</v>
      </c>
      <c r="Z140" s="75">
        <f t="shared" si="43"/>
        <v>0.010699877214523769</v>
      </c>
      <c r="AA140" s="75">
        <f t="shared" si="43"/>
        <v>0.011363636363636364</v>
      </c>
      <c r="AB140" s="75">
        <f t="shared" si="43"/>
        <v>0.011367673179396092</v>
      </c>
      <c r="AC140" s="75">
        <f t="shared" si="43"/>
        <v>0.010499188699055074</v>
      </c>
      <c r="AD140" s="75">
        <f t="shared" si="43"/>
        <v>0.010775677755922346</v>
      </c>
      <c r="AE140" s="75">
        <f t="shared" si="43"/>
        <v>0.010328554892707684</v>
      </c>
      <c r="AF140" s="75">
        <f t="shared" si="43"/>
        <v>0.010997345468335229</v>
      </c>
      <c r="AG140" s="75">
        <f t="shared" si="43"/>
        <v>0.01030163177847371</v>
      </c>
    </row>
    <row r="141" spans="2:33" ht="12.75">
      <c r="B141" s="73" t="s">
        <v>7</v>
      </c>
      <c r="C141" s="75">
        <f t="shared" si="35"/>
        <v>0.02047126559334684</v>
      </c>
      <c r="D141" s="75">
        <f aca="true" t="shared" si="44" ref="D141:AG141">D74/D$108</f>
        <v>0.021649484536082474</v>
      </c>
      <c r="E141" s="75">
        <f t="shared" si="44"/>
        <v>0.0203839516824849</v>
      </c>
      <c r="F141" s="75">
        <f t="shared" si="44"/>
        <v>0.02110618032254573</v>
      </c>
      <c r="G141" s="75">
        <f t="shared" si="44"/>
        <v>0.021368399424696937</v>
      </c>
      <c r="H141" s="75">
        <f t="shared" si="44"/>
        <v>0.021179570328334008</v>
      </c>
      <c r="I141" s="75">
        <f t="shared" si="44"/>
        <v>0.02127659574468085</v>
      </c>
      <c r="J141" s="75">
        <f t="shared" si="44"/>
        <v>0.022454915648632928</v>
      </c>
      <c r="K141" s="75">
        <f t="shared" si="44"/>
        <v>0.019614680498648767</v>
      </c>
      <c r="L141" s="75">
        <f t="shared" si="44"/>
        <v>0.022829678582156804</v>
      </c>
      <c r="M141" s="75">
        <f t="shared" si="44"/>
        <v>0.021294559099437147</v>
      </c>
      <c r="N141" s="75">
        <f t="shared" si="44"/>
        <v>0.020985846754514398</v>
      </c>
      <c r="O141" s="75">
        <f t="shared" si="44"/>
        <v>0.02099370188943317</v>
      </c>
      <c r="P141" s="75">
        <f t="shared" si="44"/>
        <v>0.021737030238624288</v>
      </c>
      <c r="Q141" s="75">
        <f t="shared" si="44"/>
        <v>0.018018018018018018</v>
      </c>
      <c r="R141" s="75">
        <f t="shared" si="44"/>
        <v>0.020313406848520024</v>
      </c>
      <c r="S141" s="75">
        <f t="shared" si="44"/>
        <v>0.02016318109350089</v>
      </c>
      <c r="T141" s="75">
        <f t="shared" si="44"/>
        <v>0.019790241678066575</v>
      </c>
      <c r="U141" s="75">
        <f t="shared" si="44"/>
        <v>0.019130936358392615</v>
      </c>
      <c r="V141" s="75">
        <f t="shared" si="44"/>
        <v>0.020729441674000197</v>
      </c>
      <c r="W141" s="75">
        <f t="shared" si="44"/>
        <v>0.018953620403528694</v>
      </c>
      <c r="X141" s="75">
        <f t="shared" si="44"/>
        <v>0.01822301024428684</v>
      </c>
      <c r="Y141" s="75">
        <f t="shared" si="44"/>
        <v>0.018191268191268192</v>
      </c>
      <c r="Z141" s="75">
        <f t="shared" si="44"/>
        <v>0.01762848623048588</v>
      </c>
      <c r="AA141" s="75">
        <f t="shared" si="44"/>
        <v>0.018501126972201354</v>
      </c>
      <c r="AB141" s="75">
        <f t="shared" si="44"/>
        <v>0.018827708703374777</v>
      </c>
      <c r="AC141" s="75">
        <f t="shared" si="44"/>
        <v>0.017371384938436575</v>
      </c>
      <c r="AD141" s="75">
        <f t="shared" si="44"/>
        <v>0.01881467544684854</v>
      </c>
      <c r="AE141" s="75">
        <f t="shared" si="44"/>
        <v>0.01780785326328911</v>
      </c>
      <c r="AF141" s="75">
        <f t="shared" si="44"/>
        <v>0.016970041714069017</v>
      </c>
      <c r="AG141" s="75">
        <f t="shared" si="44"/>
        <v>0.016400197791330146</v>
      </c>
    </row>
    <row r="142" spans="2:33" ht="12.75">
      <c r="B142" s="73" t="s">
        <v>8</v>
      </c>
      <c r="C142" s="75">
        <f t="shared" si="35"/>
        <v>0.0281479901908519</v>
      </c>
      <c r="D142" s="75">
        <f aca="true" t="shared" si="45" ref="D142:AG142">D75/D$108</f>
        <v>0.03161512027491409</v>
      </c>
      <c r="E142" s="75">
        <f t="shared" si="45"/>
        <v>0.029012079378774806</v>
      </c>
      <c r="F142" s="75">
        <f t="shared" si="45"/>
        <v>0.030739257495399935</v>
      </c>
      <c r="G142" s="75">
        <f t="shared" si="45"/>
        <v>0.031436202999794535</v>
      </c>
      <c r="H142" s="75">
        <f t="shared" si="45"/>
        <v>0.03273206323469802</v>
      </c>
      <c r="I142" s="75">
        <f t="shared" si="45"/>
        <v>0.0331788497998736</v>
      </c>
      <c r="J142" s="75">
        <f t="shared" si="45"/>
        <v>0.03152995927865038</v>
      </c>
      <c r="K142" s="75">
        <f t="shared" si="45"/>
        <v>0.03382442681544765</v>
      </c>
      <c r="L142" s="75">
        <f t="shared" si="45"/>
        <v>0.03414438770401522</v>
      </c>
      <c r="M142" s="75">
        <f t="shared" si="45"/>
        <v>0.033114446529080674</v>
      </c>
      <c r="N142" s="75">
        <f t="shared" si="45"/>
        <v>0.03308931185944363</v>
      </c>
      <c r="O142" s="75">
        <f t="shared" si="45"/>
        <v>0.032790162951114664</v>
      </c>
      <c r="P142" s="75">
        <f t="shared" si="45"/>
        <v>0.03149454159018452</v>
      </c>
      <c r="Q142" s="75">
        <f t="shared" si="45"/>
        <v>0.03138622493461203</v>
      </c>
      <c r="R142" s="75">
        <f t="shared" si="45"/>
        <v>0.0330818340104469</v>
      </c>
      <c r="S142" s="75">
        <f t="shared" si="45"/>
        <v>0.033105129888399136</v>
      </c>
      <c r="T142" s="75">
        <f t="shared" si="45"/>
        <v>0.034382124943000456</v>
      </c>
      <c r="U142" s="75">
        <f t="shared" si="45"/>
        <v>0.03268602191886176</v>
      </c>
      <c r="V142" s="75">
        <f t="shared" si="45"/>
        <v>0.03539649946220788</v>
      </c>
      <c r="W142" s="75">
        <f t="shared" si="45"/>
        <v>0.03319067167438204</v>
      </c>
      <c r="X142" s="75">
        <f t="shared" si="45"/>
        <v>0.03299842395587076</v>
      </c>
      <c r="Y142" s="75">
        <f t="shared" si="45"/>
        <v>0.03291753291753292</v>
      </c>
      <c r="Z142" s="75">
        <f t="shared" si="45"/>
        <v>0.032713559024732504</v>
      </c>
      <c r="AA142" s="75">
        <f t="shared" si="45"/>
        <v>0.03174305033809166</v>
      </c>
      <c r="AB142" s="75">
        <f t="shared" si="45"/>
        <v>0.03188277087033748</v>
      </c>
      <c r="AC142" s="75">
        <f t="shared" si="45"/>
        <v>0.03187935477713086</v>
      </c>
      <c r="AD142" s="75">
        <f t="shared" si="45"/>
        <v>0.031044214487300093</v>
      </c>
      <c r="AE142" s="75">
        <f t="shared" si="45"/>
        <v>0.028759683020211913</v>
      </c>
      <c r="AF142" s="75">
        <f t="shared" si="45"/>
        <v>0.031001137656427757</v>
      </c>
      <c r="AG142" s="75">
        <f t="shared" si="45"/>
        <v>0.027938025383220703</v>
      </c>
    </row>
    <row r="143" spans="2:33" ht="12.75">
      <c r="B143" s="73" t="s">
        <v>9</v>
      </c>
      <c r="C143" s="75">
        <f t="shared" si="35"/>
        <v>0.1436187226783239</v>
      </c>
      <c r="D143" s="75">
        <f aca="true" t="shared" si="46" ref="D143:AG143">D76/D$108</f>
        <v>0.1463917525773196</v>
      </c>
      <c r="E143" s="75">
        <f t="shared" si="46"/>
        <v>0.14009922346850734</v>
      </c>
      <c r="F143" s="75">
        <f t="shared" si="46"/>
        <v>0.14200671068297435</v>
      </c>
      <c r="G143" s="75">
        <f t="shared" si="46"/>
        <v>0.14341483460036983</v>
      </c>
      <c r="H143" s="75">
        <f t="shared" si="46"/>
        <v>0.14764896635589786</v>
      </c>
      <c r="I143" s="75">
        <f t="shared" si="46"/>
        <v>0.14251105961659996</v>
      </c>
      <c r="J143" s="75">
        <f t="shared" si="46"/>
        <v>0.14962187318208262</v>
      </c>
      <c r="K143" s="75">
        <f t="shared" si="46"/>
        <v>0.1459332229099468</v>
      </c>
      <c r="L143" s="75">
        <f t="shared" si="46"/>
        <v>0.15299889856813859</v>
      </c>
      <c r="M143" s="75">
        <f t="shared" si="46"/>
        <v>0.14906191369606003</v>
      </c>
      <c r="N143" s="75">
        <f t="shared" si="46"/>
        <v>0.14309419228892142</v>
      </c>
      <c r="O143" s="75">
        <f t="shared" si="46"/>
        <v>0.14605618314505647</v>
      </c>
      <c r="P143" s="75">
        <f t="shared" si="46"/>
        <v>0.14781180562264515</v>
      </c>
      <c r="Q143" s="75">
        <f t="shared" si="46"/>
        <v>0.14433788627337013</v>
      </c>
      <c r="R143" s="75">
        <f t="shared" si="46"/>
        <v>0.1474172954149739</v>
      </c>
      <c r="S143" s="75">
        <f t="shared" si="46"/>
        <v>0.1522085716965207</v>
      </c>
      <c r="T143" s="75">
        <f t="shared" si="46"/>
        <v>0.14920200638394893</v>
      </c>
      <c r="U143" s="75">
        <f t="shared" si="46"/>
        <v>0.15045183618534896</v>
      </c>
      <c r="V143" s="75">
        <f t="shared" si="46"/>
        <v>0.1541018871614354</v>
      </c>
      <c r="W143" s="75">
        <f t="shared" si="46"/>
        <v>0.14796052056948206</v>
      </c>
      <c r="X143" s="75">
        <f t="shared" si="46"/>
        <v>0.1547478329393223</v>
      </c>
      <c r="Y143" s="75">
        <f t="shared" si="46"/>
        <v>0.15124740124740124</v>
      </c>
      <c r="Z143" s="75">
        <f t="shared" si="46"/>
        <v>0.14935976144536045</v>
      </c>
      <c r="AA143" s="75">
        <f t="shared" si="46"/>
        <v>0.14922990232907588</v>
      </c>
      <c r="AB143" s="75">
        <f t="shared" si="46"/>
        <v>0.15266429840142096</v>
      </c>
      <c r="AC143" s="75">
        <f t="shared" si="46"/>
        <v>0.15109287009640165</v>
      </c>
      <c r="AD143" s="75">
        <f t="shared" si="46"/>
        <v>0.1469255109894809</v>
      </c>
      <c r="AE143" s="75">
        <f t="shared" si="46"/>
        <v>0.1462024752916036</v>
      </c>
      <c r="AF143" s="75">
        <f t="shared" si="46"/>
        <v>0.14799014031095942</v>
      </c>
      <c r="AG143" s="75">
        <f t="shared" si="46"/>
        <v>0.14521180154936542</v>
      </c>
    </row>
    <row r="144" spans="2:33" ht="12.75">
      <c r="B144" s="73" t="s">
        <v>10</v>
      </c>
      <c r="C144" s="75">
        <f t="shared" si="35"/>
        <v>0.05000533105874827</v>
      </c>
      <c r="D144" s="75">
        <f aca="true" t="shared" si="47" ref="D144:AG144">D77/D$108</f>
        <v>0.04868270332187858</v>
      </c>
      <c r="E144" s="75">
        <f t="shared" si="47"/>
        <v>0.05090595340811044</v>
      </c>
      <c r="F144" s="75">
        <f t="shared" si="47"/>
        <v>0.055417252949453405</v>
      </c>
      <c r="G144" s="75">
        <f t="shared" si="47"/>
        <v>0.05331826587220054</v>
      </c>
      <c r="H144" s="75">
        <f t="shared" si="47"/>
        <v>0.054418321848398864</v>
      </c>
      <c r="I144" s="75">
        <f t="shared" si="47"/>
        <v>0.05477143459026754</v>
      </c>
      <c r="J144" s="75">
        <f t="shared" si="47"/>
        <v>0.05759162303664921</v>
      </c>
      <c r="K144" s="75">
        <f t="shared" si="47"/>
        <v>0.05509545811176009</v>
      </c>
      <c r="L144" s="75">
        <f t="shared" si="47"/>
        <v>0.0549714629017723</v>
      </c>
      <c r="M144" s="75">
        <f t="shared" si="47"/>
        <v>0.054596622889305814</v>
      </c>
      <c r="N144" s="75">
        <f t="shared" si="47"/>
        <v>0.053977550024402146</v>
      </c>
      <c r="O144" s="75">
        <f t="shared" si="47"/>
        <v>0.052684194741577525</v>
      </c>
      <c r="P144" s="75">
        <f t="shared" si="47"/>
        <v>0.051396000386436096</v>
      </c>
      <c r="Q144" s="75">
        <f t="shared" si="47"/>
        <v>0.054732151506345056</v>
      </c>
      <c r="R144" s="75">
        <f t="shared" si="47"/>
        <v>0.05368543238537435</v>
      </c>
      <c r="S144" s="75">
        <f t="shared" si="47"/>
        <v>0.05279939979367908</v>
      </c>
      <c r="T144" s="75">
        <f t="shared" si="47"/>
        <v>0.05481076151390789</v>
      </c>
      <c r="U144" s="75">
        <f t="shared" si="47"/>
        <v>0.0539319361661219</v>
      </c>
      <c r="V144" s="75">
        <f t="shared" si="47"/>
        <v>0.05289918842280238</v>
      </c>
      <c r="W144" s="75">
        <f t="shared" si="47"/>
        <v>0.055113983754039655</v>
      </c>
      <c r="X144" s="75">
        <f t="shared" si="47"/>
        <v>0.056836091410559494</v>
      </c>
      <c r="Y144" s="75">
        <f t="shared" si="47"/>
        <v>0.05500693000693001</v>
      </c>
      <c r="Z144" s="75">
        <f t="shared" si="47"/>
        <v>0.05472724083494124</v>
      </c>
      <c r="AA144" s="75">
        <f t="shared" si="47"/>
        <v>0.055221637866265966</v>
      </c>
      <c r="AB144" s="75">
        <f t="shared" si="47"/>
        <v>0.05586145648312611</v>
      </c>
      <c r="AC144" s="75">
        <f t="shared" si="47"/>
        <v>0.05640927746492316</v>
      </c>
      <c r="AD144" s="75">
        <f t="shared" si="47"/>
        <v>0.05481912255195416</v>
      </c>
      <c r="AE144" s="75">
        <f t="shared" si="47"/>
        <v>0.052533167126702876</v>
      </c>
      <c r="AF144" s="75">
        <f t="shared" si="47"/>
        <v>0.05470231323473644</v>
      </c>
      <c r="AG144" s="75">
        <f t="shared" si="47"/>
        <v>0.05126091972968518</v>
      </c>
    </row>
    <row r="145" spans="2:33" ht="12.75">
      <c r="B145" s="73" t="s">
        <v>11</v>
      </c>
      <c r="C145" s="75">
        <f t="shared" si="35"/>
        <v>0.0423286064612432</v>
      </c>
      <c r="D145" s="75">
        <f aca="true" t="shared" si="48" ref="D145:AG145">D78/D$108</f>
        <v>0.04398625429553265</v>
      </c>
      <c r="E145" s="75">
        <f t="shared" si="48"/>
        <v>0.04583692838654012</v>
      </c>
      <c r="F145" s="75">
        <f t="shared" si="48"/>
        <v>0.04297001840025977</v>
      </c>
      <c r="G145" s="75">
        <f t="shared" si="48"/>
        <v>0.043250462297102936</v>
      </c>
      <c r="H145" s="75">
        <f t="shared" si="48"/>
        <v>0.04286582894203486</v>
      </c>
      <c r="I145" s="75">
        <f t="shared" si="48"/>
        <v>0.043501158626500946</v>
      </c>
      <c r="J145" s="75">
        <f t="shared" si="48"/>
        <v>0.041884816753926704</v>
      </c>
      <c r="K145" s="75">
        <f t="shared" si="48"/>
        <v>0.04262923895039665</v>
      </c>
      <c r="L145" s="75">
        <f t="shared" si="48"/>
        <v>0.042755582256934016</v>
      </c>
      <c r="M145" s="75">
        <f t="shared" si="48"/>
        <v>0.04174484052532833</v>
      </c>
      <c r="N145" s="75">
        <f t="shared" si="48"/>
        <v>0.04138604197169351</v>
      </c>
      <c r="O145" s="75">
        <f t="shared" si="48"/>
        <v>0.04178746376087174</v>
      </c>
      <c r="P145" s="75">
        <f t="shared" si="48"/>
        <v>0.0445367597333591</v>
      </c>
      <c r="Q145" s="75">
        <f t="shared" si="48"/>
        <v>0.041945170977429044</v>
      </c>
      <c r="R145" s="75">
        <f t="shared" si="48"/>
        <v>0.04372218997871929</v>
      </c>
      <c r="S145" s="75">
        <f t="shared" si="48"/>
        <v>0.042202006939885586</v>
      </c>
      <c r="T145" s="75">
        <f t="shared" si="48"/>
        <v>0.042225262197902416</v>
      </c>
      <c r="U145" s="75">
        <f t="shared" si="48"/>
        <v>0.042107287060180736</v>
      </c>
      <c r="V145" s="75">
        <f t="shared" si="48"/>
        <v>0.042241126430038134</v>
      </c>
      <c r="W145" s="75">
        <f t="shared" si="48"/>
        <v>0.03834396017119399</v>
      </c>
      <c r="X145" s="75">
        <f t="shared" si="48"/>
        <v>0.040484633569739956</v>
      </c>
      <c r="Y145" s="75">
        <f t="shared" si="48"/>
        <v>0.04002079002079002</v>
      </c>
      <c r="Z145" s="75">
        <f t="shared" si="48"/>
        <v>0.04060691106823364</v>
      </c>
      <c r="AA145" s="75">
        <f t="shared" si="48"/>
        <v>0.03897445529676934</v>
      </c>
      <c r="AB145" s="75">
        <f t="shared" si="48"/>
        <v>0.03952042628774423</v>
      </c>
      <c r="AC145" s="75">
        <f t="shared" si="48"/>
        <v>0.0381788679965639</v>
      </c>
      <c r="AD145" s="75">
        <f t="shared" si="48"/>
        <v>0.03617548960916788</v>
      </c>
      <c r="AE145" s="75">
        <f t="shared" si="48"/>
        <v>0.035971863591844004</v>
      </c>
      <c r="AF145" s="75">
        <f t="shared" si="48"/>
        <v>0.03886992794842624</v>
      </c>
      <c r="AG145" s="75">
        <f t="shared" si="48"/>
        <v>0.03931102686665568</v>
      </c>
    </row>
    <row r="146" spans="2:33" ht="12.75">
      <c r="B146" s="73" t="s">
        <v>12</v>
      </c>
      <c r="C146" s="75">
        <f t="shared" si="35"/>
        <v>0.0022390446742723107</v>
      </c>
      <c r="D146" s="75">
        <f aca="true" t="shared" si="49" ref="D146:AG146">D79/D$108</f>
        <v>0.002061855670103093</v>
      </c>
      <c r="E146" s="75">
        <f t="shared" si="49"/>
        <v>0.0025884383088869713</v>
      </c>
      <c r="F146" s="75">
        <f t="shared" si="49"/>
        <v>0.0025976837320056284</v>
      </c>
      <c r="G146" s="75">
        <f t="shared" si="49"/>
        <v>0.0022601191699198686</v>
      </c>
      <c r="H146" s="75">
        <f t="shared" si="49"/>
        <v>0.0032428050263477908</v>
      </c>
      <c r="I146" s="75">
        <f t="shared" si="49"/>
        <v>0.0031598904571308196</v>
      </c>
      <c r="J146" s="75">
        <f t="shared" si="49"/>
        <v>0.0026759744037230947</v>
      </c>
      <c r="K146" s="75">
        <f t="shared" si="49"/>
        <v>0.002876819806468486</v>
      </c>
      <c r="L146" s="75">
        <f t="shared" si="49"/>
        <v>0.0033042955842595375</v>
      </c>
      <c r="M146" s="75">
        <f t="shared" si="49"/>
        <v>0.0031894934333958724</v>
      </c>
      <c r="N146" s="75">
        <f t="shared" si="49"/>
        <v>0.003904343582235237</v>
      </c>
      <c r="O146" s="75">
        <f t="shared" si="49"/>
        <v>0.004198740377886634</v>
      </c>
      <c r="P146" s="75">
        <f t="shared" si="49"/>
        <v>0.004057578977876533</v>
      </c>
      <c r="Q146" s="75">
        <f t="shared" si="49"/>
        <v>0.004359197907585004</v>
      </c>
      <c r="R146" s="75">
        <f t="shared" si="49"/>
        <v>0.003869220352099052</v>
      </c>
      <c r="S146" s="75">
        <f t="shared" si="49"/>
        <v>0.00487667635749789</v>
      </c>
      <c r="T146" s="75">
        <f t="shared" si="49"/>
        <v>0.005380756953944368</v>
      </c>
      <c r="U146" s="75">
        <f t="shared" si="49"/>
        <v>0.004614497212074601</v>
      </c>
      <c r="V146" s="75">
        <f t="shared" si="49"/>
        <v>0.005280140803754767</v>
      </c>
      <c r="W146" s="75">
        <f t="shared" si="49"/>
        <v>0.006550790462049087</v>
      </c>
      <c r="X146" s="75">
        <f t="shared" si="49"/>
        <v>0.0056146572104018916</v>
      </c>
      <c r="Y146" s="75">
        <f t="shared" si="49"/>
        <v>0.006323631323631324</v>
      </c>
      <c r="Z146" s="75">
        <f t="shared" si="49"/>
        <v>0.006139273811611998</v>
      </c>
      <c r="AA146" s="75">
        <f t="shared" si="49"/>
        <v>0.007513148009015778</v>
      </c>
      <c r="AB146" s="75">
        <f t="shared" si="49"/>
        <v>0.007193605683836589</v>
      </c>
      <c r="AC146" s="75">
        <f t="shared" si="49"/>
        <v>0.006872196239381502</v>
      </c>
      <c r="AD146" s="75">
        <f t="shared" si="49"/>
        <v>0.007269306422646027</v>
      </c>
      <c r="AE146" s="75">
        <f t="shared" si="49"/>
        <v>0.006945062772682753</v>
      </c>
      <c r="AF146" s="75">
        <f t="shared" si="49"/>
        <v>0.005688282138794084</v>
      </c>
      <c r="AG146" s="75">
        <f t="shared" si="49"/>
        <v>0.006428218229767595</v>
      </c>
    </row>
    <row r="147" spans="2:33" ht="12.75">
      <c r="B147" s="73" t="s">
        <v>13</v>
      </c>
      <c r="C147" s="75">
        <f t="shared" si="35"/>
        <v>0</v>
      </c>
      <c r="D147" s="75">
        <f aca="true" t="shared" si="50" ref="D147:AG147">D80/D$108</f>
        <v>0</v>
      </c>
      <c r="E147" s="75">
        <f t="shared" si="50"/>
        <v>0</v>
      </c>
      <c r="F147" s="75">
        <f t="shared" si="50"/>
        <v>0</v>
      </c>
      <c r="G147" s="75">
        <f t="shared" si="50"/>
        <v>0</v>
      </c>
      <c r="H147" s="75">
        <f t="shared" si="50"/>
        <v>0</v>
      </c>
      <c r="I147" s="75">
        <f t="shared" si="50"/>
        <v>0</v>
      </c>
      <c r="J147" s="75">
        <f t="shared" si="50"/>
        <v>0</v>
      </c>
      <c r="K147" s="75">
        <f t="shared" si="50"/>
        <v>0</v>
      </c>
      <c r="L147" s="75">
        <f t="shared" si="50"/>
        <v>0</v>
      </c>
      <c r="M147" s="75">
        <f t="shared" si="50"/>
        <v>0</v>
      </c>
      <c r="N147" s="75">
        <f t="shared" si="50"/>
        <v>0</v>
      </c>
      <c r="O147" s="75">
        <f t="shared" si="50"/>
        <v>0</v>
      </c>
      <c r="P147" s="75">
        <f t="shared" si="50"/>
        <v>0</v>
      </c>
      <c r="Q147" s="75">
        <f t="shared" si="50"/>
        <v>0</v>
      </c>
      <c r="R147" s="75">
        <f t="shared" si="50"/>
        <v>0</v>
      </c>
      <c r="S147" s="75">
        <f t="shared" si="50"/>
        <v>0</v>
      </c>
      <c r="T147" s="75">
        <f t="shared" si="50"/>
        <v>0</v>
      </c>
      <c r="U147" s="75">
        <f t="shared" si="50"/>
        <v>0</v>
      </c>
      <c r="V147" s="75">
        <f t="shared" si="50"/>
        <v>0.004302336951207588</v>
      </c>
      <c r="W147" s="75">
        <f t="shared" si="50"/>
        <v>0.010743296357760503</v>
      </c>
      <c r="X147" s="75">
        <f t="shared" si="50"/>
        <v>0.014676910953506699</v>
      </c>
      <c r="Y147" s="75">
        <f t="shared" si="50"/>
        <v>0.02001039501039501</v>
      </c>
      <c r="Z147" s="75">
        <f t="shared" si="50"/>
        <v>0.02736362041747062</v>
      </c>
      <c r="AA147" s="75">
        <f t="shared" si="50"/>
        <v>0.030146506386175807</v>
      </c>
      <c r="AB147" s="75">
        <f t="shared" si="50"/>
        <v>0.031172291296625222</v>
      </c>
      <c r="AC147" s="75">
        <f t="shared" si="50"/>
        <v>0.04027870573637492</v>
      </c>
      <c r="AD147" s="75">
        <f t="shared" si="50"/>
        <v>0.040622594714786624</v>
      </c>
      <c r="AE147" s="75">
        <f t="shared" si="50"/>
        <v>0.04505386875612145</v>
      </c>
      <c r="AF147" s="75">
        <f t="shared" si="50"/>
        <v>0.04664391353811149</v>
      </c>
      <c r="AG147" s="75">
        <f t="shared" si="50"/>
        <v>0.04837646283171254</v>
      </c>
    </row>
    <row r="148" spans="2:33" ht="12.75">
      <c r="B148" s="73" t="s">
        <v>14</v>
      </c>
      <c r="C148" s="75">
        <f t="shared" si="35"/>
        <v>0.023989764367203327</v>
      </c>
      <c r="D148" s="75">
        <f aca="true" t="shared" si="51" ref="D148:AG148">D81/D$108</f>
        <v>0.02542955326460481</v>
      </c>
      <c r="E148" s="75">
        <f t="shared" si="51"/>
        <v>0.024266609145815358</v>
      </c>
      <c r="F148" s="75">
        <f t="shared" si="51"/>
        <v>0.02662625825305769</v>
      </c>
      <c r="G148" s="75">
        <f t="shared" si="51"/>
        <v>0.027121430039038424</v>
      </c>
      <c r="H148" s="75">
        <f t="shared" si="51"/>
        <v>0.02837454398054317</v>
      </c>
      <c r="I148" s="75">
        <f t="shared" si="51"/>
        <v>0.032020223298925635</v>
      </c>
      <c r="J148" s="75">
        <f t="shared" si="51"/>
        <v>0.03152995927865038</v>
      </c>
      <c r="K148" s="75">
        <f t="shared" si="51"/>
        <v>0.03417313224653474</v>
      </c>
      <c r="L148" s="75">
        <f t="shared" si="51"/>
        <v>0.03504555922699509</v>
      </c>
      <c r="M148" s="75">
        <f t="shared" si="51"/>
        <v>0.037054409005628515</v>
      </c>
      <c r="N148" s="75">
        <f t="shared" si="51"/>
        <v>0.036603221083455345</v>
      </c>
      <c r="O148" s="75">
        <f t="shared" si="51"/>
        <v>0.03558932320303909</v>
      </c>
      <c r="P148" s="75">
        <f t="shared" si="51"/>
        <v>0.03738769201043377</v>
      </c>
      <c r="Q148" s="75">
        <f t="shared" si="51"/>
        <v>0.036714133488327035</v>
      </c>
      <c r="R148" s="75">
        <f t="shared" si="51"/>
        <v>0.040143161153027664</v>
      </c>
      <c r="S148" s="75">
        <f t="shared" si="51"/>
        <v>0.04126418456344368</v>
      </c>
      <c r="T148" s="75">
        <f t="shared" si="51"/>
        <v>0.041130870953032375</v>
      </c>
      <c r="U148" s="75">
        <f t="shared" si="51"/>
        <v>0.040280715247067875</v>
      </c>
      <c r="V148" s="75">
        <f t="shared" si="51"/>
        <v>0.0447834164466608</v>
      </c>
      <c r="W148" s="75">
        <f t="shared" si="51"/>
        <v>0.044108655777797184</v>
      </c>
      <c r="X148" s="75">
        <f t="shared" si="51"/>
        <v>0.044424743892829</v>
      </c>
      <c r="Y148" s="75">
        <f t="shared" si="51"/>
        <v>0.04504504504504504</v>
      </c>
      <c r="Z148" s="75">
        <f t="shared" si="51"/>
        <v>0.04569373794071216</v>
      </c>
      <c r="AA148" s="75">
        <f t="shared" si="51"/>
        <v>0.047051089406461306</v>
      </c>
      <c r="AB148" s="75">
        <f t="shared" si="51"/>
        <v>0.046092362344582596</v>
      </c>
      <c r="AC148" s="75">
        <f t="shared" si="51"/>
        <v>0.04705545480576501</v>
      </c>
      <c r="AD148" s="75">
        <f t="shared" si="51"/>
        <v>0.04378688103993843</v>
      </c>
      <c r="AE148" s="75">
        <f t="shared" si="51"/>
        <v>0.04505386875612145</v>
      </c>
      <c r="AF148" s="75">
        <f t="shared" si="51"/>
        <v>0.04455821008722033</v>
      </c>
      <c r="AG148" s="75">
        <f t="shared" si="51"/>
        <v>0.04367891874072853</v>
      </c>
    </row>
    <row r="149" spans="2:33" ht="12.75">
      <c r="B149" s="73" t="s">
        <v>15</v>
      </c>
      <c r="C149" s="75">
        <f t="shared" si="35"/>
        <v>0.0021324234993069626</v>
      </c>
      <c r="D149" s="75">
        <f aca="true" t="shared" si="52" ref="D149:AG149">D82/D$108</f>
        <v>0.0025200458190148913</v>
      </c>
      <c r="E149" s="75">
        <f t="shared" si="52"/>
        <v>0.0018334771354616048</v>
      </c>
      <c r="F149" s="75">
        <f t="shared" si="52"/>
        <v>0.003571815131507739</v>
      </c>
      <c r="G149" s="75">
        <f t="shared" si="52"/>
        <v>0.0032874460653379905</v>
      </c>
      <c r="H149" s="75">
        <f t="shared" si="52"/>
        <v>0.003546817997567896</v>
      </c>
      <c r="I149" s="75">
        <f t="shared" si="52"/>
        <v>0.004529176321887508</v>
      </c>
      <c r="J149" s="75">
        <f t="shared" si="52"/>
        <v>0.0034904013961605585</v>
      </c>
      <c r="K149" s="75">
        <f t="shared" si="52"/>
        <v>0.0036614070264144364</v>
      </c>
      <c r="L149" s="75">
        <f t="shared" si="52"/>
        <v>0.0031040352458195654</v>
      </c>
      <c r="M149" s="75">
        <f t="shared" si="52"/>
        <v>0.003658536585365854</v>
      </c>
      <c r="N149" s="75">
        <f t="shared" si="52"/>
        <v>0.003318692044899951</v>
      </c>
      <c r="O149" s="75">
        <f t="shared" si="52"/>
        <v>0.0038988303508947315</v>
      </c>
      <c r="P149" s="75">
        <f t="shared" si="52"/>
        <v>0.005120278233987054</v>
      </c>
      <c r="Q149" s="75">
        <f t="shared" si="52"/>
        <v>0.004649811101424005</v>
      </c>
      <c r="R149" s="75">
        <f t="shared" si="52"/>
        <v>0.005029986457728767</v>
      </c>
      <c r="S149" s="75">
        <f t="shared" si="52"/>
        <v>0.00506424083278627</v>
      </c>
      <c r="T149" s="75">
        <f t="shared" si="52"/>
        <v>0.004651162790697674</v>
      </c>
      <c r="U149" s="75">
        <f t="shared" si="52"/>
        <v>0.005768121515093251</v>
      </c>
      <c r="V149" s="75">
        <f t="shared" si="52"/>
        <v>0.004400117336462305</v>
      </c>
      <c r="W149" s="75">
        <f t="shared" si="52"/>
        <v>0.005939383352257839</v>
      </c>
      <c r="X149" s="75">
        <f t="shared" si="52"/>
        <v>0.0056146572104018916</v>
      </c>
      <c r="Y149" s="75">
        <f t="shared" si="52"/>
        <v>0.00589050589050589</v>
      </c>
      <c r="Z149" s="75">
        <f t="shared" si="52"/>
        <v>0.005525346430450798</v>
      </c>
      <c r="AA149" s="75">
        <f t="shared" si="52"/>
        <v>0.005540946656649136</v>
      </c>
      <c r="AB149" s="75">
        <f t="shared" si="52"/>
        <v>0.0053285968028419185</v>
      </c>
      <c r="AC149" s="75">
        <f t="shared" si="52"/>
        <v>0.006299513219433043</v>
      </c>
      <c r="AD149" s="75">
        <f t="shared" si="52"/>
        <v>0.005815445138116822</v>
      </c>
      <c r="AE149" s="75">
        <f t="shared" si="52"/>
        <v>0.006499866441100525</v>
      </c>
      <c r="AF149" s="75">
        <f t="shared" si="52"/>
        <v>0.006067500948047023</v>
      </c>
      <c r="AG149" s="75">
        <f t="shared" si="52"/>
        <v>0.006922696555134333</v>
      </c>
    </row>
    <row r="150" spans="2:33" ht="12.75">
      <c r="B150" s="73" t="s">
        <v>16</v>
      </c>
      <c r="C150" s="75">
        <f t="shared" si="35"/>
        <v>0</v>
      </c>
      <c r="D150" s="75">
        <f aca="true" t="shared" si="53" ref="D150:AG150">D83/D$108</f>
        <v>0</v>
      </c>
      <c r="E150" s="75">
        <f t="shared" si="53"/>
        <v>0</v>
      </c>
      <c r="F150" s="75">
        <f t="shared" si="53"/>
        <v>0</v>
      </c>
      <c r="G150" s="75">
        <f t="shared" si="53"/>
        <v>0</v>
      </c>
      <c r="H150" s="75">
        <f t="shared" si="53"/>
        <v>0</v>
      </c>
      <c r="I150" s="75">
        <f t="shared" si="53"/>
        <v>0.0006319780914261639</v>
      </c>
      <c r="J150" s="75">
        <f t="shared" si="53"/>
        <v>0.0050029086678301336</v>
      </c>
      <c r="K150" s="75">
        <f t="shared" si="53"/>
        <v>0.011594455583645715</v>
      </c>
      <c r="L150" s="75">
        <f t="shared" si="53"/>
        <v>0.01722238910583759</v>
      </c>
      <c r="M150" s="75">
        <f t="shared" si="53"/>
        <v>0.0200750469043152</v>
      </c>
      <c r="N150" s="75">
        <f t="shared" si="53"/>
        <v>0.02449975597852611</v>
      </c>
      <c r="O150" s="75">
        <f t="shared" si="53"/>
        <v>0.030190942717184845</v>
      </c>
      <c r="P150" s="75">
        <f t="shared" si="53"/>
        <v>0.02830644382185296</v>
      </c>
      <c r="Q150" s="75">
        <f t="shared" si="53"/>
        <v>0.02973941683619103</v>
      </c>
      <c r="R150" s="75">
        <f t="shared" si="53"/>
        <v>0.0297929967111627</v>
      </c>
      <c r="S150" s="75">
        <f t="shared" si="53"/>
        <v>0.03207352527431304</v>
      </c>
      <c r="T150" s="75">
        <f t="shared" si="53"/>
        <v>0.033561331509347925</v>
      </c>
      <c r="U150" s="75">
        <f t="shared" si="53"/>
        <v>0.035954624110747936</v>
      </c>
      <c r="V150" s="75">
        <f t="shared" si="53"/>
        <v>0.03784100909357583</v>
      </c>
      <c r="W150" s="75">
        <f t="shared" si="53"/>
        <v>0.035548956240719715</v>
      </c>
      <c r="X150" s="75">
        <f t="shared" si="53"/>
        <v>0.0384160756501182</v>
      </c>
      <c r="Y150" s="75">
        <f t="shared" si="53"/>
        <v>0.036382536382536385</v>
      </c>
      <c r="Z150" s="75">
        <f t="shared" si="53"/>
        <v>0.03595860375372742</v>
      </c>
      <c r="AA150" s="75">
        <f t="shared" si="53"/>
        <v>0.03784748309541698</v>
      </c>
      <c r="AB150" s="75">
        <f t="shared" si="53"/>
        <v>0.0369449378330373</v>
      </c>
      <c r="AC150" s="75">
        <f t="shared" si="53"/>
        <v>0.03512455855683879</v>
      </c>
      <c r="AD150" s="75">
        <f t="shared" si="53"/>
        <v>0.0373727871376037</v>
      </c>
      <c r="AE150" s="75">
        <f t="shared" si="53"/>
        <v>0.0400676698424005</v>
      </c>
      <c r="AF150" s="75">
        <f t="shared" si="53"/>
        <v>0.03839590443686007</v>
      </c>
      <c r="AG150" s="75">
        <f t="shared" si="53"/>
        <v>0.038157244107466626</v>
      </c>
    </row>
    <row r="151" spans="2:33" ht="12.75">
      <c r="B151" s="73" t="s">
        <v>17</v>
      </c>
      <c r="C151" s="75">
        <f t="shared" si="35"/>
        <v>0</v>
      </c>
      <c r="D151" s="75">
        <f aca="true" t="shared" si="54" ref="D151:AG151">D84/D$108</f>
        <v>0</v>
      </c>
      <c r="E151" s="75">
        <f t="shared" si="54"/>
        <v>0</v>
      </c>
      <c r="F151" s="75">
        <f t="shared" si="54"/>
        <v>0</v>
      </c>
      <c r="G151" s="75">
        <f t="shared" si="54"/>
        <v>0</v>
      </c>
      <c r="H151" s="75">
        <f t="shared" si="54"/>
        <v>0</v>
      </c>
      <c r="I151" s="75">
        <f t="shared" si="54"/>
        <v>0</v>
      </c>
      <c r="J151" s="75">
        <f t="shared" si="54"/>
        <v>0</v>
      </c>
      <c r="K151" s="75">
        <f t="shared" si="54"/>
        <v>0</v>
      </c>
      <c r="L151" s="75">
        <f t="shared" si="54"/>
        <v>0</v>
      </c>
      <c r="M151" s="75">
        <f t="shared" si="54"/>
        <v>0</v>
      </c>
      <c r="N151" s="75">
        <f t="shared" si="54"/>
        <v>0</v>
      </c>
      <c r="O151" s="75">
        <f t="shared" si="54"/>
        <v>0</v>
      </c>
      <c r="P151" s="75">
        <f t="shared" si="54"/>
        <v>0</v>
      </c>
      <c r="Q151" s="75">
        <f t="shared" si="54"/>
        <v>0</v>
      </c>
      <c r="R151" s="75">
        <f t="shared" si="54"/>
        <v>0</v>
      </c>
      <c r="S151" s="75">
        <f t="shared" si="54"/>
        <v>0</v>
      </c>
      <c r="T151" s="75">
        <f t="shared" si="54"/>
        <v>0</v>
      </c>
      <c r="U151" s="75">
        <f t="shared" si="54"/>
        <v>0.0003845414343395501</v>
      </c>
      <c r="V151" s="75">
        <f t="shared" si="54"/>
        <v>0.001075584237801897</v>
      </c>
      <c r="W151" s="75">
        <f t="shared" si="54"/>
        <v>0.002096252947855708</v>
      </c>
      <c r="X151" s="75">
        <f t="shared" si="54"/>
        <v>0.0033490937746256896</v>
      </c>
      <c r="Y151" s="75">
        <f t="shared" si="54"/>
        <v>0.0045045045045045045</v>
      </c>
      <c r="Z151" s="75">
        <f t="shared" si="54"/>
        <v>0.004911419049289599</v>
      </c>
      <c r="AA151" s="75">
        <f t="shared" si="54"/>
        <v>0.006855747558226897</v>
      </c>
      <c r="AB151" s="75">
        <f t="shared" si="54"/>
        <v>0.00586145648312611</v>
      </c>
      <c r="AC151" s="75">
        <f t="shared" si="54"/>
        <v>0.008017562279278419</v>
      </c>
      <c r="AD151" s="75">
        <f t="shared" si="54"/>
        <v>0.008894210211237492</v>
      </c>
      <c r="AE151" s="75">
        <f t="shared" si="54"/>
        <v>0.009438162229543228</v>
      </c>
      <c r="AF151" s="75">
        <f t="shared" si="54"/>
        <v>0.010997345468335229</v>
      </c>
      <c r="AG151" s="75">
        <f t="shared" si="54"/>
        <v>0.010960936212296027</v>
      </c>
    </row>
    <row r="152" spans="2:33" ht="12.75">
      <c r="B152" s="73" t="s">
        <v>18</v>
      </c>
      <c r="C152" s="75">
        <f t="shared" si="35"/>
        <v>0</v>
      </c>
      <c r="D152" s="75">
        <f aca="true" t="shared" si="55" ref="D152:AG152">D85/D$108</f>
        <v>0</v>
      </c>
      <c r="E152" s="75">
        <f t="shared" si="55"/>
        <v>0</v>
      </c>
      <c r="F152" s="75">
        <f t="shared" si="55"/>
        <v>0</v>
      </c>
      <c r="G152" s="75">
        <f t="shared" si="55"/>
        <v>0</v>
      </c>
      <c r="H152" s="75">
        <f t="shared" si="55"/>
        <v>0</v>
      </c>
      <c r="I152" s="75">
        <f t="shared" si="55"/>
        <v>0</v>
      </c>
      <c r="J152" s="75">
        <f t="shared" si="55"/>
        <v>0</v>
      </c>
      <c r="K152" s="75">
        <f t="shared" si="55"/>
        <v>0</v>
      </c>
      <c r="L152" s="75">
        <f t="shared" si="55"/>
        <v>0</v>
      </c>
      <c r="M152" s="75">
        <f t="shared" si="55"/>
        <v>0</v>
      </c>
      <c r="N152" s="75">
        <f t="shared" si="55"/>
        <v>0</v>
      </c>
      <c r="O152" s="75">
        <f t="shared" si="55"/>
        <v>0</v>
      </c>
      <c r="P152" s="75">
        <f t="shared" si="55"/>
        <v>0</v>
      </c>
      <c r="Q152" s="75">
        <f t="shared" si="55"/>
        <v>0</v>
      </c>
      <c r="R152" s="75">
        <f t="shared" si="55"/>
        <v>0</v>
      </c>
      <c r="S152" s="75">
        <f t="shared" si="55"/>
        <v>0</v>
      </c>
      <c r="T152" s="75">
        <f t="shared" si="55"/>
        <v>0</v>
      </c>
      <c r="U152" s="75">
        <f t="shared" si="55"/>
        <v>0.00019227071716977504</v>
      </c>
      <c r="V152" s="75">
        <f t="shared" si="55"/>
        <v>0.0007822430820377432</v>
      </c>
      <c r="W152" s="75">
        <f t="shared" si="55"/>
        <v>0.0013975019652371387</v>
      </c>
      <c r="X152" s="75">
        <f t="shared" si="55"/>
        <v>0.001970055161544523</v>
      </c>
      <c r="Y152" s="75">
        <f t="shared" si="55"/>
        <v>0.0031185031185031187</v>
      </c>
      <c r="Z152" s="75">
        <f t="shared" si="55"/>
        <v>0.0035958603753727418</v>
      </c>
      <c r="AA152" s="75">
        <f t="shared" si="55"/>
        <v>0.004413974455296769</v>
      </c>
      <c r="AB152" s="75">
        <f t="shared" si="55"/>
        <v>0.0050621669626998225</v>
      </c>
      <c r="AC152" s="75">
        <f t="shared" si="55"/>
        <v>0.0048678056695618975</v>
      </c>
      <c r="AD152" s="75">
        <f t="shared" si="55"/>
        <v>0.00658513640639699</v>
      </c>
      <c r="AE152" s="75">
        <f t="shared" si="55"/>
        <v>0.005965630843201852</v>
      </c>
      <c r="AF152" s="75">
        <f t="shared" si="55"/>
        <v>0.005783086841107319</v>
      </c>
      <c r="AG152" s="75">
        <f t="shared" si="55"/>
        <v>0.006345805175539805</v>
      </c>
    </row>
    <row r="153" spans="2:33" ht="12.75">
      <c r="B153" s="73" t="s">
        <v>19</v>
      </c>
      <c r="C153" s="75">
        <f t="shared" si="35"/>
        <v>0.0023456658492376587</v>
      </c>
      <c r="D153" s="75">
        <f aca="true" t="shared" si="56" ref="D153:AG153">D86/D$108</f>
        <v>0.0035509736540664375</v>
      </c>
      <c r="E153" s="75">
        <f t="shared" si="56"/>
        <v>0.0026962899050905955</v>
      </c>
      <c r="F153" s="75">
        <f t="shared" si="56"/>
        <v>0.0019482627990042212</v>
      </c>
      <c r="G153" s="75">
        <f t="shared" si="56"/>
        <v>0.001951921101294432</v>
      </c>
      <c r="H153" s="75">
        <f t="shared" si="56"/>
        <v>0.0022294284556141062</v>
      </c>
      <c r="I153" s="75">
        <f t="shared" si="56"/>
        <v>0.0016852749104697704</v>
      </c>
      <c r="J153" s="75">
        <f t="shared" si="56"/>
        <v>0.001977894124490983</v>
      </c>
      <c r="K153" s="75">
        <f t="shared" si="56"/>
        <v>0.0016563507976636736</v>
      </c>
      <c r="L153" s="75">
        <f t="shared" si="56"/>
        <v>0.0017022128767397618</v>
      </c>
      <c r="M153" s="75">
        <f t="shared" si="56"/>
        <v>0.0019699812382739214</v>
      </c>
      <c r="N153" s="75">
        <f t="shared" si="56"/>
        <v>0.00214738897022938</v>
      </c>
      <c r="O153" s="75">
        <f t="shared" si="56"/>
        <v>0.0023992802159352195</v>
      </c>
      <c r="P153" s="75">
        <f t="shared" si="56"/>
        <v>0.0026084436286349143</v>
      </c>
      <c r="Q153" s="75">
        <f t="shared" si="56"/>
        <v>0.0027123898091640027</v>
      </c>
      <c r="R153" s="75">
        <f t="shared" si="56"/>
        <v>0.0024182627200619077</v>
      </c>
      <c r="S153" s="75">
        <f t="shared" si="56"/>
        <v>0.002344555941104755</v>
      </c>
      <c r="T153" s="75">
        <f t="shared" si="56"/>
        <v>0.0023711810305517556</v>
      </c>
      <c r="U153" s="75">
        <f t="shared" si="56"/>
        <v>0.0017304364545279755</v>
      </c>
      <c r="V153" s="75">
        <f t="shared" si="56"/>
        <v>0.0015644861640754864</v>
      </c>
      <c r="W153" s="75">
        <f t="shared" si="56"/>
        <v>0.0014848458380644597</v>
      </c>
      <c r="X153" s="75">
        <f t="shared" si="56"/>
        <v>0.0017730496453900709</v>
      </c>
      <c r="Y153" s="75">
        <f t="shared" si="56"/>
        <v>0.0019923769923769923</v>
      </c>
      <c r="Z153" s="75">
        <f t="shared" si="56"/>
        <v>0.0017540782318891423</v>
      </c>
      <c r="AA153" s="75">
        <f t="shared" si="56"/>
        <v>0.002160030052592036</v>
      </c>
      <c r="AB153" s="75">
        <f t="shared" si="56"/>
        <v>0.0012433392539964476</v>
      </c>
      <c r="AC153" s="75">
        <f t="shared" si="56"/>
        <v>0.0012408132098883269</v>
      </c>
      <c r="AD153" s="75">
        <f t="shared" si="56"/>
        <v>0.001282818780466946</v>
      </c>
      <c r="AE153" s="75">
        <f t="shared" si="56"/>
        <v>0.0016917460600124655</v>
      </c>
      <c r="AF153" s="75">
        <f t="shared" si="56"/>
        <v>0.0011376564277588168</v>
      </c>
      <c r="AG153" s="75">
        <f t="shared" si="56"/>
        <v>0.0014010219218724247</v>
      </c>
    </row>
    <row r="154" spans="2:33" ht="12.75">
      <c r="B154" s="73" t="s">
        <v>20</v>
      </c>
      <c r="C154" s="75">
        <f t="shared" si="35"/>
        <v>0.01076873867150016</v>
      </c>
      <c r="D154" s="75">
        <f aca="true" t="shared" si="57" ref="D154:AG154">D87/D$108</f>
        <v>0.011111111111111112</v>
      </c>
      <c r="E154" s="75">
        <f t="shared" si="57"/>
        <v>0.010677308024158758</v>
      </c>
      <c r="F154" s="75">
        <f t="shared" si="57"/>
        <v>0.010498971750189415</v>
      </c>
      <c r="G154" s="75">
        <f t="shared" si="57"/>
        <v>0.01027326895418122</v>
      </c>
      <c r="H154" s="75">
        <f t="shared" si="57"/>
        <v>0.011653830563437374</v>
      </c>
      <c r="I154" s="75">
        <f t="shared" si="57"/>
        <v>0.010638297872340425</v>
      </c>
      <c r="J154" s="75">
        <f t="shared" si="57"/>
        <v>0.00954043048283886</v>
      </c>
      <c r="K154" s="75">
        <f t="shared" si="57"/>
        <v>0.01028681021706913</v>
      </c>
      <c r="L154" s="75">
        <f t="shared" si="57"/>
        <v>0.011114448783418444</v>
      </c>
      <c r="M154" s="75">
        <f t="shared" si="57"/>
        <v>0.010318949343339587</v>
      </c>
      <c r="N154" s="75">
        <f t="shared" si="57"/>
        <v>0.011127379209370425</v>
      </c>
      <c r="O154" s="75">
        <f t="shared" si="57"/>
        <v>0.012696191142657203</v>
      </c>
      <c r="P154" s="75">
        <f t="shared" si="57"/>
        <v>0.010433774514539657</v>
      </c>
      <c r="Q154" s="75">
        <f t="shared" si="57"/>
        <v>0.01055894604281701</v>
      </c>
      <c r="R154" s="75">
        <f t="shared" si="57"/>
        <v>0.011607661056297156</v>
      </c>
      <c r="S154" s="75">
        <f t="shared" si="57"/>
        <v>0.010597392853793491</v>
      </c>
      <c r="T154" s="75">
        <f t="shared" si="57"/>
        <v>0.008846329229366165</v>
      </c>
      <c r="U154" s="75">
        <f t="shared" si="57"/>
        <v>0.010959430878677177</v>
      </c>
      <c r="V154" s="75">
        <f t="shared" si="57"/>
        <v>0.009093575828688765</v>
      </c>
      <c r="W154" s="75">
        <f t="shared" si="57"/>
        <v>0.009869857629487291</v>
      </c>
      <c r="X154" s="75">
        <f t="shared" si="57"/>
        <v>0.008668242710795903</v>
      </c>
      <c r="Y154" s="75">
        <f t="shared" si="57"/>
        <v>0.008575883575883576</v>
      </c>
      <c r="Z154" s="75">
        <f t="shared" si="57"/>
        <v>0.008419575513067884</v>
      </c>
      <c r="AA154" s="75">
        <f t="shared" si="57"/>
        <v>0.009391435011269721</v>
      </c>
      <c r="AB154" s="75">
        <f t="shared" si="57"/>
        <v>0.00852575488454707</v>
      </c>
      <c r="AC154" s="75">
        <f t="shared" si="57"/>
        <v>0.009353822659158156</v>
      </c>
      <c r="AD154" s="75">
        <f t="shared" si="57"/>
        <v>0.008210040194988454</v>
      </c>
      <c r="AE154" s="75">
        <f t="shared" si="57"/>
        <v>0.007479298370581426</v>
      </c>
      <c r="AF154" s="75">
        <f t="shared" si="57"/>
        <v>0.00739476678043231</v>
      </c>
      <c r="AG154" s="75">
        <f t="shared" si="57"/>
        <v>0.008406131531234548</v>
      </c>
    </row>
    <row r="155" spans="2:33" ht="12.75">
      <c r="B155" s="73" t="s">
        <v>21</v>
      </c>
      <c r="C155" s="75">
        <f t="shared" si="35"/>
        <v>0.0034118775988911396</v>
      </c>
      <c r="D155" s="75">
        <f aca="true" t="shared" si="58" ref="D155:AG155">D88/D$108</f>
        <v>0.0032073310423825887</v>
      </c>
      <c r="E155" s="75">
        <f t="shared" si="58"/>
        <v>0.003882657463330457</v>
      </c>
      <c r="F155" s="75">
        <f t="shared" si="58"/>
        <v>0.003030631020673233</v>
      </c>
      <c r="G155" s="75">
        <f t="shared" si="58"/>
        <v>0.003595644133963427</v>
      </c>
      <c r="H155" s="75">
        <f t="shared" si="58"/>
        <v>0.003546817997567896</v>
      </c>
      <c r="I155" s="75">
        <f t="shared" si="58"/>
        <v>0.0033705498209395408</v>
      </c>
      <c r="J155" s="75">
        <f t="shared" si="58"/>
        <v>0.004072134962187318</v>
      </c>
      <c r="K155" s="75">
        <f t="shared" si="58"/>
        <v>0.003225525237555575</v>
      </c>
      <c r="L155" s="75">
        <f t="shared" si="58"/>
        <v>0.0038049464303594673</v>
      </c>
      <c r="M155" s="75">
        <f t="shared" si="58"/>
        <v>0.0038461538461538464</v>
      </c>
      <c r="N155" s="75">
        <f t="shared" si="58"/>
        <v>0.004099560761346999</v>
      </c>
      <c r="O155" s="75">
        <f t="shared" si="58"/>
        <v>0.0033989803059082274</v>
      </c>
      <c r="P155" s="75">
        <f t="shared" si="58"/>
        <v>0.003960969954593759</v>
      </c>
      <c r="Q155" s="75">
        <f t="shared" si="58"/>
        <v>0.0033904872614550032</v>
      </c>
      <c r="R155" s="75">
        <f t="shared" si="58"/>
        <v>0.0032888372992841944</v>
      </c>
      <c r="S155" s="75">
        <f t="shared" si="58"/>
        <v>0.004126418456344368</v>
      </c>
      <c r="T155" s="75">
        <f t="shared" si="58"/>
        <v>0.003009575923392613</v>
      </c>
      <c r="U155" s="75">
        <f t="shared" si="58"/>
        <v>0.0035570082676408383</v>
      </c>
      <c r="V155" s="75">
        <f t="shared" si="58"/>
        <v>0.0035200938691698444</v>
      </c>
      <c r="W155" s="75">
        <f t="shared" si="58"/>
        <v>0.0034064110402655255</v>
      </c>
      <c r="X155" s="75">
        <f t="shared" si="58"/>
        <v>0.002955082742316785</v>
      </c>
      <c r="Y155" s="75">
        <f t="shared" si="58"/>
        <v>0.003031878031878032</v>
      </c>
      <c r="Z155" s="75">
        <f t="shared" si="58"/>
        <v>0.0028942290826170845</v>
      </c>
      <c r="AA155" s="75">
        <f t="shared" si="58"/>
        <v>0.003005259203606311</v>
      </c>
      <c r="AB155" s="75">
        <f t="shared" si="58"/>
        <v>0.0034635879218472467</v>
      </c>
      <c r="AC155" s="75">
        <f t="shared" si="58"/>
        <v>0.003245203779707932</v>
      </c>
      <c r="AD155" s="75">
        <f t="shared" si="58"/>
        <v>0.0030787650731206703</v>
      </c>
      <c r="AE155" s="75">
        <f t="shared" si="58"/>
        <v>0.0028492565221262577</v>
      </c>
      <c r="AF155" s="75">
        <f t="shared" si="58"/>
        <v>0.002844141069397042</v>
      </c>
      <c r="AG155" s="75">
        <f t="shared" si="58"/>
        <v>0.0028020438437448493</v>
      </c>
    </row>
    <row r="156" spans="2:33" ht="12.75">
      <c r="B156" s="73" t="s">
        <v>22</v>
      </c>
      <c r="C156" s="75">
        <f t="shared" si="35"/>
        <v>0.001812559974410918</v>
      </c>
      <c r="D156" s="75">
        <f aca="true" t="shared" si="59" ref="D156:AG156">D89/D$108</f>
        <v>0.001718213058419244</v>
      </c>
      <c r="E156" s="75">
        <f t="shared" si="59"/>
        <v>0.001725625539257981</v>
      </c>
      <c r="F156" s="75">
        <f t="shared" si="59"/>
        <v>0.0010823682216690117</v>
      </c>
      <c r="G156" s="75">
        <f t="shared" si="59"/>
        <v>0.0014382576535853708</v>
      </c>
      <c r="H156" s="75">
        <f t="shared" si="59"/>
        <v>0.0012160518848804217</v>
      </c>
      <c r="I156" s="75">
        <f t="shared" si="59"/>
        <v>0.0010532968190436064</v>
      </c>
      <c r="J156" s="75">
        <f t="shared" si="59"/>
        <v>0.0010471204188481676</v>
      </c>
      <c r="K156" s="75">
        <f t="shared" si="59"/>
        <v>0.0016563507976636736</v>
      </c>
      <c r="L156" s="75">
        <f t="shared" si="59"/>
        <v>0.0016020827075197757</v>
      </c>
      <c r="M156" s="75">
        <f t="shared" si="59"/>
        <v>0.00150093808630394</v>
      </c>
      <c r="N156" s="75">
        <f t="shared" si="59"/>
        <v>0.0015617374328940946</v>
      </c>
      <c r="O156" s="75">
        <f t="shared" si="59"/>
        <v>0.0017994601619514146</v>
      </c>
      <c r="P156" s="75">
        <f t="shared" si="59"/>
        <v>0.0014491353492416192</v>
      </c>
      <c r="Q156" s="75">
        <f t="shared" si="59"/>
        <v>0.0014530659691950015</v>
      </c>
      <c r="R156" s="75">
        <f t="shared" si="59"/>
        <v>0.0012574966144321918</v>
      </c>
      <c r="S156" s="75">
        <f t="shared" si="59"/>
        <v>0.001500515802307043</v>
      </c>
      <c r="T156" s="75">
        <f t="shared" si="59"/>
        <v>0.0011855905152758778</v>
      </c>
      <c r="U156" s="75">
        <f t="shared" si="59"/>
        <v>0.0017304364545279755</v>
      </c>
      <c r="V156" s="75">
        <f t="shared" si="59"/>
        <v>0.000977803852547179</v>
      </c>
      <c r="W156" s="75">
        <f t="shared" si="59"/>
        <v>0.0014848458380644597</v>
      </c>
      <c r="X156" s="75">
        <f t="shared" si="59"/>
        <v>0.0008865248226950354</v>
      </c>
      <c r="Y156" s="75">
        <f t="shared" si="59"/>
        <v>0.0010395010395010396</v>
      </c>
      <c r="Z156" s="75">
        <f t="shared" si="59"/>
        <v>0.0011401508507279424</v>
      </c>
      <c r="AA156" s="75">
        <f t="shared" si="59"/>
        <v>0.0009391435011269722</v>
      </c>
      <c r="AB156" s="75">
        <f t="shared" si="59"/>
        <v>0.0007992895204262878</v>
      </c>
      <c r="AC156" s="75">
        <f t="shared" si="59"/>
        <v>0.0006681301899398683</v>
      </c>
      <c r="AD156" s="75">
        <f t="shared" si="59"/>
        <v>0.0006841700162490379</v>
      </c>
      <c r="AE156" s="75">
        <f t="shared" si="59"/>
        <v>0.0007123141305315644</v>
      </c>
      <c r="AF156" s="75">
        <f t="shared" si="59"/>
        <v>0.0005688282138794084</v>
      </c>
      <c r="AG156" s="75">
        <f t="shared" si="59"/>
        <v>0.0010713697049612658</v>
      </c>
    </row>
    <row r="157" spans="2:33" ht="12.75">
      <c r="B157" s="73" t="s">
        <v>23</v>
      </c>
      <c r="C157" s="75">
        <f t="shared" si="35"/>
        <v>0</v>
      </c>
      <c r="D157" s="75">
        <f aca="true" t="shared" si="60" ref="D157:AG157">D90/D$108</f>
        <v>0</v>
      </c>
      <c r="E157" s="75">
        <f t="shared" si="60"/>
        <v>0</v>
      </c>
      <c r="F157" s="75">
        <f t="shared" si="60"/>
        <v>0</v>
      </c>
      <c r="G157" s="75">
        <f t="shared" si="60"/>
        <v>0</v>
      </c>
      <c r="H157" s="75">
        <f t="shared" si="60"/>
        <v>0</v>
      </c>
      <c r="I157" s="75">
        <f t="shared" si="60"/>
        <v>0</v>
      </c>
      <c r="J157" s="75">
        <f t="shared" si="60"/>
        <v>0</v>
      </c>
      <c r="K157" s="75">
        <f t="shared" si="60"/>
        <v>0</v>
      </c>
      <c r="L157" s="75">
        <f t="shared" si="60"/>
        <v>0</v>
      </c>
      <c r="M157" s="75">
        <f t="shared" si="60"/>
        <v>0</v>
      </c>
      <c r="N157" s="75">
        <f t="shared" si="60"/>
        <v>0</v>
      </c>
      <c r="O157" s="75">
        <f t="shared" si="60"/>
        <v>0</v>
      </c>
      <c r="P157" s="75">
        <f t="shared" si="60"/>
        <v>0</v>
      </c>
      <c r="Q157" s="75">
        <f t="shared" si="60"/>
        <v>0</v>
      </c>
      <c r="R157" s="75">
        <f t="shared" si="60"/>
        <v>0</v>
      </c>
      <c r="S157" s="75">
        <f t="shared" si="60"/>
        <v>0</v>
      </c>
      <c r="T157" s="75">
        <f t="shared" si="60"/>
        <v>0</v>
      </c>
      <c r="U157" s="75">
        <f t="shared" si="60"/>
        <v>0</v>
      </c>
      <c r="V157" s="75">
        <f t="shared" si="60"/>
        <v>0</v>
      </c>
      <c r="W157" s="75">
        <f t="shared" si="60"/>
        <v>0.0015721897108917809</v>
      </c>
      <c r="X157" s="75">
        <f t="shared" si="60"/>
        <v>0.008372734436564224</v>
      </c>
      <c r="Y157" s="75">
        <f t="shared" si="60"/>
        <v>0.012387387387387387</v>
      </c>
      <c r="Z157" s="75">
        <f t="shared" si="60"/>
        <v>0.018505525346430452</v>
      </c>
      <c r="AA157" s="75">
        <f t="shared" si="60"/>
        <v>0.024887302779864763</v>
      </c>
      <c r="AB157" s="75">
        <f t="shared" si="60"/>
        <v>0.027708703374777974</v>
      </c>
      <c r="AC157" s="75">
        <f t="shared" si="60"/>
        <v>0.025007158537749357</v>
      </c>
      <c r="AD157" s="75">
        <f t="shared" si="60"/>
        <v>0.02941931069870863</v>
      </c>
      <c r="AE157" s="75">
        <f t="shared" si="60"/>
        <v>0.03330068560235064</v>
      </c>
      <c r="AF157" s="75">
        <f t="shared" si="60"/>
        <v>0.029958285930982178</v>
      </c>
      <c r="AG157" s="75">
        <f t="shared" si="60"/>
        <v>0.03395417834184935</v>
      </c>
    </row>
    <row r="158" spans="2:33" ht="12.75">
      <c r="B158" s="73" t="s">
        <v>24</v>
      </c>
      <c r="C158" s="75">
        <f t="shared" si="35"/>
        <v>0.10640793261541742</v>
      </c>
      <c r="D158" s="75">
        <f aca="true" t="shared" si="61" ref="D158:AG158">D91/D$108</f>
        <v>0.10584192439862543</v>
      </c>
      <c r="E158" s="75">
        <f t="shared" si="61"/>
        <v>0.10752804141501295</v>
      </c>
      <c r="F158" s="75">
        <f t="shared" si="61"/>
        <v>0.10866976945556879</v>
      </c>
      <c r="G158" s="75">
        <f t="shared" si="61"/>
        <v>0.10879391822477913</v>
      </c>
      <c r="H158" s="75">
        <f t="shared" si="61"/>
        <v>0.10518848804215647</v>
      </c>
      <c r="I158" s="75">
        <f t="shared" si="61"/>
        <v>0.11017484727196124</v>
      </c>
      <c r="J158" s="75">
        <f t="shared" si="61"/>
        <v>0.10447934845840605</v>
      </c>
      <c r="K158" s="75">
        <f t="shared" si="61"/>
        <v>0.10373986574840903</v>
      </c>
      <c r="L158" s="75">
        <f t="shared" si="61"/>
        <v>0.10443576649644538</v>
      </c>
      <c r="M158" s="75">
        <f t="shared" si="61"/>
        <v>0.10150093808630394</v>
      </c>
      <c r="N158" s="75">
        <f t="shared" si="61"/>
        <v>0.10317227916056614</v>
      </c>
      <c r="O158" s="75">
        <f t="shared" si="61"/>
        <v>0.10266919924022794</v>
      </c>
      <c r="P158" s="75">
        <f t="shared" si="61"/>
        <v>0.10056999323736837</v>
      </c>
      <c r="Q158" s="75">
        <f t="shared" si="61"/>
        <v>0.0980335173883561</v>
      </c>
      <c r="R158" s="75">
        <f t="shared" si="61"/>
        <v>0.09895531050493325</v>
      </c>
      <c r="S158" s="75">
        <f t="shared" si="61"/>
        <v>0.09987808309106255</v>
      </c>
      <c r="T158" s="75">
        <f t="shared" si="61"/>
        <v>0.09585043319653443</v>
      </c>
      <c r="U158" s="75">
        <f t="shared" si="61"/>
        <v>0.09882714862526437</v>
      </c>
      <c r="V158" s="75">
        <f t="shared" si="61"/>
        <v>0.09465141292656692</v>
      </c>
      <c r="W158" s="75">
        <f t="shared" si="61"/>
        <v>0.09581622849157131</v>
      </c>
      <c r="X158" s="75">
        <f t="shared" si="61"/>
        <v>0.09141055949566587</v>
      </c>
      <c r="Y158" s="75">
        <f t="shared" si="61"/>
        <v>0.08645183645183645</v>
      </c>
      <c r="Z158" s="75">
        <f t="shared" si="61"/>
        <v>0.08366953166111209</v>
      </c>
      <c r="AA158" s="75">
        <f t="shared" si="61"/>
        <v>0.07494365138993238</v>
      </c>
      <c r="AB158" s="75">
        <f t="shared" si="61"/>
        <v>0.07104795737122557</v>
      </c>
      <c r="AC158" s="75">
        <f t="shared" si="61"/>
        <v>0.07206261334351437</v>
      </c>
      <c r="AD158" s="75">
        <f t="shared" si="61"/>
        <v>0.06619344907209442</v>
      </c>
      <c r="AE158" s="75">
        <f t="shared" si="61"/>
        <v>0.06223844715519544</v>
      </c>
      <c r="AF158" s="75">
        <f t="shared" si="61"/>
        <v>0.06238149412210846</v>
      </c>
      <c r="AG158" s="75">
        <f t="shared" si="61"/>
        <v>0.05900774682709741</v>
      </c>
    </row>
    <row r="159" spans="2:33" ht="12.75">
      <c r="B159" s="73" t="s">
        <v>25</v>
      </c>
      <c r="C159" s="75">
        <f t="shared" si="35"/>
        <v>0.07516792835057043</v>
      </c>
      <c r="D159" s="75">
        <f aca="true" t="shared" si="62" ref="D159:AG159">D92/D$108</f>
        <v>0.072737686139748</v>
      </c>
      <c r="E159" s="75">
        <f t="shared" si="62"/>
        <v>0.07279982743744608</v>
      </c>
      <c r="F159" s="75">
        <f t="shared" si="62"/>
        <v>0.07035393440848577</v>
      </c>
      <c r="G159" s="75">
        <f t="shared" si="62"/>
        <v>0.0723238134374358</v>
      </c>
      <c r="H159" s="75">
        <f t="shared" si="62"/>
        <v>0.06961897040940414</v>
      </c>
      <c r="I159" s="75">
        <f t="shared" si="62"/>
        <v>0.06888561196545187</v>
      </c>
      <c r="J159" s="75">
        <f t="shared" si="62"/>
        <v>0.0714368819080861</v>
      </c>
      <c r="K159" s="75">
        <f t="shared" si="62"/>
        <v>0.07113590794176619</v>
      </c>
      <c r="L159" s="75">
        <f t="shared" si="62"/>
        <v>0.06648643236207069</v>
      </c>
      <c r="M159" s="75">
        <f t="shared" si="62"/>
        <v>0.06932457786116322</v>
      </c>
      <c r="N159" s="75">
        <f t="shared" si="62"/>
        <v>0.06510492923377258</v>
      </c>
      <c r="O159" s="75">
        <f t="shared" si="62"/>
        <v>0.06847945616315106</v>
      </c>
      <c r="P159" s="75">
        <f t="shared" si="62"/>
        <v>0.06327891025021737</v>
      </c>
      <c r="Q159" s="75">
        <f t="shared" si="62"/>
        <v>0.06693790564758306</v>
      </c>
      <c r="R159" s="75">
        <f t="shared" si="62"/>
        <v>0.06606693751209132</v>
      </c>
      <c r="S159" s="75">
        <f t="shared" si="62"/>
        <v>0.06283409922160743</v>
      </c>
      <c r="T159" s="75">
        <f t="shared" si="62"/>
        <v>0.06365709074327405</v>
      </c>
      <c r="U159" s="75">
        <f t="shared" si="62"/>
        <v>0.06479523168621419</v>
      </c>
      <c r="V159" s="75">
        <f t="shared" si="62"/>
        <v>0.06248166617776474</v>
      </c>
      <c r="W159" s="75">
        <f t="shared" si="62"/>
        <v>0.06376102716394445</v>
      </c>
      <c r="X159" s="75">
        <f t="shared" si="62"/>
        <v>0.06028368794326241</v>
      </c>
      <c r="Y159" s="75">
        <f t="shared" si="62"/>
        <v>0.061157311157311156</v>
      </c>
      <c r="Z159" s="75">
        <f t="shared" si="62"/>
        <v>0.06025258726539204</v>
      </c>
      <c r="AA159" s="75">
        <f t="shared" si="62"/>
        <v>0.05540946656649136</v>
      </c>
      <c r="AB159" s="75">
        <f t="shared" si="62"/>
        <v>0.05523978685612788</v>
      </c>
      <c r="AC159" s="75">
        <f t="shared" si="62"/>
        <v>0.057077407654863035</v>
      </c>
      <c r="AD159" s="75">
        <f t="shared" si="62"/>
        <v>0.05191139998289575</v>
      </c>
      <c r="AE159" s="75">
        <f t="shared" si="62"/>
        <v>0.0541358739203989</v>
      </c>
      <c r="AF159" s="75">
        <f t="shared" si="62"/>
        <v>0.05470231323473644</v>
      </c>
      <c r="AG159" s="75">
        <f t="shared" si="62"/>
        <v>0.053650898302291083</v>
      </c>
    </row>
    <row r="160" spans="2:33" ht="12.75">
      <c r="B160" s="73" t="s">
        <v>26</v>
      </c>
      <c r="C160" s="75">
        <f t="shared" si="35"/>
        <v>0.022390446742723103</v>
      </c>
      <c r="D160" s="75">
        <f aca="true" t="shared" si="63" ref="D160:AG160">D93/D$108</f>
        <v>0.021076746849942728</v>
      </c>
      <c r="E160" s="75">
        <f t="shared" si="63"/>
        <v>0.02146246764452114</v>
      </c>
      <c r="F160" s="75">
        <f t="shared" si="63"/>
        <v>0.019699101634376014</v>
      </c>
      <c r="G160" s="75">
        <f t="shared" si="63"/>
        <v>0.021676597493322375</v>
      </c>
      <c r="H160" s="75">
        <f t="shared" si="63"/>
        <v>0.02047020672882043</v>
      </c>
      <c r="I160" s="75">
        <f t="shared" si="63"/>
        <v>0.021908573836107014</v>
      </c>
      <c r="J160" s="75">
        <f t="shared" si="63"/>
        <v>0.020593368237347295</v>
      </c>
      <c r="K160" s="75">
        <f t="shared" si="63"/>
        <v>0.020399267718594717</v>
      </c>
      <c r="L160" s="75">
        <f t="shared" si="63"/>
        <v>0.018924601982577352</v>
      </c>
      <c r="M160" s="75">
        <f t="shared" si="63"/>
        <v>0.01894934333958724</v>
      </c>
      <c r="N160" s="75">
        <f t="shared" si="63"/>
        <v>0.018936066373840897</v>
      </c>
      <c r="O160" s="75">
        <f t="shared" si="63"/>
        <v>0.01949415175447366</v>
      </c>
      <c r="P160" s="75">
        <f t="shared" si="63"/>
        <v>0.020867549029079314</v>
      </c>
      <c r="Q160" s="75">
        <f t="shared" si="63"/>
        <v>0.01908359972876102</v>
      </c>
      <c r="R160" s="75">
        <f t="shared" si="63"/>
        <v>0.01692783904043335</v>
      </c>
      <c r="S160" s="75">
        <f t="shared" si="63"/>
        <v>0.018944012004126418</v>
      </c>
      <c r="T160" s="75">
        <f t="shared" si="63"/>
        <v>0.0168718650250798</v>
      </c>
      <c r="U160" s="75">
        <f t="shared" si="63"/>
        <v>0.017592770621034415</v>
      </c>
      <c r="V160" s="75">
        <f t="shared" si="63"/>
        <v>0.017307128190085067</v>
      </c>
      <c r="W160" s="75">
        <f t="shared" si="63"/>
        <v>0.017206742946982267</v>
      </c>
      <c r="X160" s="75">
        <f t="shared" si="63"/>
        <v>0.01585894405043341</v>
      </c>
      <c r="Y160" s="75">
        <f t="shared" si="63"/>
        <v>0.016285516285516284</v>
      </c>
      <c r="Z160" s="75">
        <f t="shared" si="63"/>
        <v>0.014120329766707596</v>
      </c>
      <c r="AA160" s="75">
        <f t="shared" si="63"/>
        <v>0.015683696468820434</v>
      </c>
      <c r="AB160" s="75">
        <f t="shared" si="63"/>
        <v>0.014209591474245116</v>
      </c>
      <c r="AC160" s="75">
        <f t="shared" si="63"/>
        <v>0.014889758518659922</v>
      </c>
      <c r="AD160" s="75">
        <f t="shared" si="63"/>
        <v>0.014966219105447704</v>
      </c>
      <c r="AE160" s="75">
        <f t="shared" si="63"/>
        <v>0.01299973288220105</v>
      </c>
      <c r="AF160" s="75">
        <f t="shared" si="63"/>
        <v>0.01478953356086462</v>
      </c>
      <c r="AG160" s="75">
        <f t="shared" si="63"/>
        <v>0.012774023405307401</v>
      </c>
    </row>
    <row r="161" spans="2:33" ht="12.75">
      <c r="B161" s="73" t="s">
        <v>71</v>
      </c>
      <c r="C161" s="75">
        <f t="shared" si="35"/>
        <v>0</v>
      </c>
      <c r="D161" s="75">
        <f aca="true" t="shared" si="64" ref="D161:AG161">D94/D$108</f>
        <v>0</v>
      </c>
      <c r="E161" s="75">
        <f t="shared" si="64"/>
        <v>0</v>
      </c>
      <c r="F161" s="75">
        <f t="shared" si="64"/>
        <v>0</v>
      </c>
      <c r="G161" s="75">
        <f t="shared" si="64"/>
        <v>0</v>
      </c>
      <c r="H161" s="75">
        <f t="shared" si="64"/>
        <v>0</v>
      </c>
      <c r="I161" s="75">
        <f t="shared" si="64"/>
        <v>0</v>
      </c>
      <c r="J161" s="75">
        <f t="shared" si="64"/>
        <v>0</v>
      </c>
      <c r="K161" s="75">
        <f t="shared" si="64"/>
        <v>0</v>
      </c>
      <c r="L161" s="75">
        <f t="shared" si="64"/>
        <v>0</v>
      </c>
      <c r="M161" s="75">
        <f t="shared" si="64"/>
        <v>0</v>
      </c>
      <c r="N161" s="75">
        <f t="shared" si="64"/>
        <v>0</v>
      </c>
      <c r="O161" s="75">
        <f t="shared" si="64"/>
        <v>0</v>
      </c>
      <c r="P161" s="75">
        <f t="shared" si="64"/>
        <v>0</v>
      </c>
      <c r="Q161" s="75">
        <f t="shared" si="64"/>
        <v>0</v>
      </c>
      <c r="R161" s="75">
        <f t="shared" si="64"/>
        <v>0</v>
      </c>
      <c r="S161" s="75">
        <f t="shared" si="64"/>
        <v>0</v>
      </c>
      <c r="T161" s="75">
        <f t="shared" si="64"/>
        <v>0</v>
      </c>
      <c r="U161" s="75">
        <f t="shared" si="64"/>
        <v>0</v>
      </c>
      <c r="V161" s="75">
        <f t="shared" si="64"/>
        <v>0</v>
      </c>
      <c r="W161" s="75">
        <f t="shared" si="64"/>
        <v>0</v>
      </c>
      <c r="X161" s="75">
        <f t="shared" si="64"/>
        <v>0</v>
      </c>
      <c r="Y161" s="75">
        <f t="shared" si="64"/>
        <v>0</v>
      </c>
      <c r="Z161" s="75">
        <f t="shared" si="64"/>
        <v>0</v>
      </c>
      <c r="AA161" s="75">
        <f t="shared" si="64"/>
        <v>0</v>
      </c>
      <c r="AB161" s="75">
        <f t="shared" si="64"/>
        <v>0</v>
      </c>
      <c r="AC161" s="75">
        <f t="shared" si="64"/>
        <v>0</v>
      </c>
      <c r="AD161" s="75">
        <f t="shared" si="64"/>
        <v>0</v>
      </c>
      <c r="AE161" s="75">
        <f t="shared" si="64"/>
        <v>0</v>
      </c>
      <c r="AF161" s="75">
        <f t="shared" si="64"/>
        <v>0</v>
      </c>
      <c r="AG161" s="75">
        <f t="shared" si="64"/>
        <v>0.00024723916268336906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PESTY</dc:creator>
  <cp:keywords/>
  <dc:description/>
  <cp:lastModifiedBy>François PESTY</cp:lastModifiedBy>
  <cp:lastPrinted>2007-02-24T16:07:26Z</cp:lastPrinted>
  <dcterms:created xsi:type="dcterms:W3CDTF">2006-06-24T15:38:30Z</dcterms:created>
  <dcterms:modified xsi:type="dcterms:W3CDTF">2011-04-03T19:45:24Z</dcterms:modified>
  <cp:category/>
  <cp:version/>
  <cp:contentType/>
  <cp:contentStatus/>
</cp:coreProperties>
</file>