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8F"/>
  <workbookPr/>
  <bookViews>
    <workbookView xWindow="120" yWindow="105" windowWidth="12780" windowHeight="6795" firstSheet="2" activeTab="4"/>
  </bookViews>
  <sheets>
    <sheet name="Montant remb annuel total" sheetId="1" r:id="rId1"/>
    <sheet name="Nombre de patients (mensuel)" sheetId="2" r:id="rId2"/>
    <sheet name="Montant remb annuel (ATC)" sheetId="3" r:id="rId3"/>
    <sheet name="% Montant remb annuel (ATC)" sheetId="4" r:id="rId4"/>
    <sheet name="% Patient (ATC)" sheetId="5" r:id="rId5"/>
    <sheet name="Nombre de patient (ATC)" sheetId="6" r:id="rId6"/>
    <sheet name="% PM unités (ATC)" sheetId="7" r:id="rId7"/>
    <sheet name="unités mensuelles (ATC)" sheetId="8" r:id="rId8"/>
    <sheet name="unités mensuelles (CIP) (%)" sheetId="9" r:id="rId9"/>
    <sheet name="unités mensuelles (CIP)" sheetId="10" r:id="rId10"/>
    <sheet name="Req1" sheetId="11" r:id="rId11"/>
    <sheet name="Req2" sheetId="12" r:id="rId12"/>
    <sheet name="Req3" sheetId="13" r:id="rId13"/>
  </sheets>
  <definedNames/>
  <calcPr fullCalcOnLoad="1"/>
</workbook>
</file>

<file path=xl/sharedStrings.xml><?xml version="1.0" encoding="utf-8"?>
<sst xmlns="http://schemas.openxmlformats.org/spreadsheetml/2006/main" count="479" uniqueCount="114">
  <si>
    <t>Hypolipémiant</t>
  </si>
  <si>
    <t>Simvastatine 10mg</t>
  </si>
  <si>
    <t>Simvastatine 20mg</t>
  </si>
  <si>
    <t>Simvastatine 40mg</t>
  </si>
  <si>
    <t>Pravastatine 20mg</t>
  </si>
  <si>
    <t>Pravastatine 40mg</t>
  </si>
  <si>
    <t>Fluvastatine 20mg</t>
  </si>
  <si>
    <t>Fluvastatine 40mg</t>
  </si>
  <si>
    <t>Fluvastatine 80mg</t>
  </si>
  <si>
    <t>TAHOR 10mg</t>
  </si>
  <si>
    <t>TAHOR 20mg</t>
  </si>
  <si>
    <t>TAHOR 40mg</t>
  </si>
  <si>
    <t>TAHOR 80mg</t>
  </si>
  <si>
    <t>CRESTOR 5mg</t>
  </si>
  <si>
    <t>CRESTOR 10mg</t>
  </si>
  <si>
    <t>CRESTOR 20mg</t>
  </si>
  <si>
    <t>EZETROL 10mg</t>
  </si>
  <si>
    <t>INEGY 10/20mg</t>
  </si>
  <si>
    <t>INEGY 10/40mg</t>
  </si>
  <si>
    <t>LIPUR 450mg</t>
  </si>
  <si>
    <t>Fénofibrate 67mg</t>
  </si>
  <si>
    <t>Fénofibrate 100mg</t>
  </si>
  <si>
    <t>Fénofibrate 140mg</t>
  </si>
  <si>
    <t>Fénofibrate 145mg</t>
  </si>
  <si>
    <t>Fénofibrate 160mg</t>
  </si>
  <si>
    <t>Fénofibrate 200mg</t>
  </si>
  <si>
    <t>Fénofibrate 300mg</t>
  </si>
  <si>
    <t>Simvastatine</t>
  </si>
  <si>
    <t>Pravastatine</t>
  </si>
  <si>
    <t>Fluvastatine</t>
  </si>
  <si>
    <t>TAHOR</t>
  </si>
  <si>
    <t>CRESTOR</t>
  </si>
  <si>
    <t>EZETROL</t>
  </si>
  <si>
    <t>INEGY</t>
  </si>
  <si>
    <t>LIPUR</t>
  </si>
  <si>
    <t>Fénofibrate</t>
  </si>
  <si>
    <t>Total panier</t>
  </si>
  <si>
    <t>Statines de 1er choix</t>
  </si>
  <si>
    <t>PRAVADUAL 40/81mg</t>
  </si>
  <si>
    <t>PRAVADUAL</t>
  </si>
  <si>
    <t>Statines "stricto sensu"</t>
  </si>
  <si>
    <t>%</t>
  </si>
  <si>
    <t>Pravastatine 10mg</t>
  </si>
  <si>
    <t>Simvastatine 10mg (ZOCOR®/LODALÈS®)</t>
  </si>
  <si>
    <t>Simvastatine 20mg (ZOCOR®/LODALÈS®)</t>
  </si>
  <si>
    <t>Simvastatine 40mg (ZOCOR®/LODALÈS®)</t>
  </si>
  <si>
    <t>Pravastatine 10mg (ÉLISOR®/VASTEN®)</t>
  </si>
  <si>
    <t>Pravastatine 20mg (ÉLISOR®/VASTEN®)</t>
  </si>
  <si>
    <t>Pravastatine 40mg (ÉLISOR®/VASTEN®)</t>
  </si>
  <si>
    <t>PRAVADUAL® 40/81mg</t>
  </si>
  <si>
    <t>Fluvastatine 20mg (FRACTAL®/LESCOL®)</t>
  </si>
  <si>
    <t>Fluvastatine 40mg (FRACTAL®/LESCOL®)</t>
  </si>
  <si>
    <t>Fluvastatine 80mg (FRACTAL®/LESCOL®)</t>
  </si>
  <si>
    <t>TAHOR® 10mg</t>
  </si>
  <si>
    <t>TAHOR® 20mg</t>
  </si>
  <si>
    <t>TAHOR® 40mg</t>
  </si>
  <si>
    <t>TAHOR® 80mg</t>
  </si>
  <si>
    <t>CRESTOR® 5mg</t>
  </si>
  <si>
    <t>CRESTOR® 10mg</t>
  </si>
  <si>
    <t>CRESTOR® 20mg</t>
  </si>
  <si>
    <t>ÉZÉTROL® 10mg</t>
  </si>
  <si>
    <t>INÉGY® 10/20mg</t>
  </si>
  <si>
    <t>INÉGY® 10/40mg</t>
  </si>
  <si>
    <t>LIPUR® 450mg</t>
  </si>
  <si>
    <t>Fénofibrate 67mg (LIPANTHYL®)</t>
  </si>
  <si>
    <t>Fénofibrate 100mg (LIPANTHYL®)</t>
  </si>
  <si>
    <t>Fénofibrate 140mg (LIPANTHYL®)</t>
  </si>
  <si>
    <t>Fénofibrate 145mg (LIPANTHYL®)</t>
  </si>
  <si>
    <t>Fénofibrate 160mg (LIPANTHYL®)</t>
  </si>
  <si>
    <t>Fénofibrate 200mg (LIPANTHYL®)</t>
  </si>
  <si>
    <t>Fénofibrate 300mg (LIPANTHYL®)</t>
  </si>
  <si>
    <t>CADUET® (=TAHOR® 10mg)</t>
  </si>
  <si>
    <t>CADUET</t>
  </si>
  <si>
    <t>Coller ici Req1       Ordre</t>
  </si>
  <si>
    <t xml:space="preserve"> Hypolipémiant</t>
  </si>
  <si>
    <t xml:space="preserve"> Ordre</t>
  </si>
  <si>
    <t>Coller ici Req2       Ordre</t>
  </si>
  <si>
    <t>Coller ici Req3       Ordre</t>
  </si>
  <si>
    <t>CPAM de Montpellier - Montants remboursés</t>
  </si>
  <si>
    <t>CPAM  de Montpellier - Patients remboursés</t>
  </si>
  <si>
    <t>CPAM  de Montpellier - Boites remboursées</t>
  </si>
  <si>
    <t>juin-5</t>
  </si>
  <si>
    <t>juil-5</t>
  </si>
  <si>
    <t>août-5</t>
  </si>
  <si>
    <t>sept-5</t>
  </si>
  <si>
    <t>oct-5</t>
  </si>
  <si>
    <t>nov-5</t>
  </si>
  <si>
    <t>déc-5</t>
  </si>
  <si>
    <t>janv-6</t>
  </si>
  <si>
    <t>févr-6</t>
  </si>
  <si>
    <t>mars-6</t>
  </si>
  <si>
    <t>avr-6</t>
  </si>
  <si>
    <t>mai-6</t>
  </si>
  <si>
    <t>juin-6</t>
  </si>
  <si>
    <t>juil-6</t>
  </si>
  <si>
    <t>août-6</t>
  </si>
  <si>
    <t>sept-6</t>
  </si>
  <si>
    <t>oct-6</t>
  </si>
  <si>
    <t>nov-6</t>
  </si>
  <si>
    <t>déc-6</t>
  </si>
  <si>
    <t>jan-7</t>
  </si>
  <si>
    <t>juil-4</t>
  </si>
  <si>
    <t>août-4</t>
  </si>
  <si>
    <t>sept-4</t>
  </si>
  <si>
    <t>oct-4</t>
  </si>
  <si>
    <t>nov-4</t>
  </si>
  <si>
    <t>déc-4</t>
  </si>
  <si>
    <t>janv-5</t>
  </si>
  <si>
    <t>fév-5</t>
  </si>
  <si>
    <t>mars-5</t>
  </si>
  <si>
    <t>avr-5</t>
  </si>
  <si>
    <t>mai-5</t>
  </si>
  <si>
    <t>fév-6</t>
  </si>
  <si>
    <t>déc04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</si>
</sst>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#\ ##,000&quot; €&quot;;\-#\ ##,000&quot; €&quot;"/>
    <numFmt numFmtId="170" formatCode="#,##0\ &quot;€&quot;"/>
    <numFmt numFmtId="171" formatCode="#,##0.00\ &quot;€&quot;"/>
  </numFmts>
  <fonts count="1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0.25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2" borderId="1" xfId="19" applyFont="1" applyFill="1" applyBorder="1" applyAlignment="1">
      <alignment wrapText="1"/>
      <protection/>
    </xf>
    <xf numFmtId="0" fontId="1" fillId="2" borderId="2" xfId="19" applyFont="1" applyFill="1" applyBorder="1" applyAlignment="1">
      <alignment wrapText="1"/>
      <protection/>
    </xf>
    <xf numFmtId="0" fontId="3" fillId="2" borderId="3" xfId="19" applyFont="1" applyFill="1" applyBorder="1" applyAlignment="1">
      <alignment wrapText="1"/>
      <protection/>
    </xf>
    <xf numFmtId="170" fontId="0" fillId="3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4" fillId="3" borderId="3" xfId="0" applyNumberFormat="1" applyFont="1" applyFill="1" applyBorder="1" applyAlignment="1">
      <alignment/>
    </xf>
    <xf numFmtId="0" fontId="1" fillId="2" borderId="3" xfId="19" applyFont="1" applyFill="1" applyBorder="1" applyAlignment="1">
      <alignment wrapText="1"/>
      <protection/>
    </xf>
    <xf numFmtId="170" fontId="0" fillId="3" borderId="3" xfId="0" applyNumberFormat="1" applyFill="1" applyBorder="1" applyAlignment="1">
      <alignment/>
    </xf>
    <xf numFmtId="0" fontId="9" fillId="2" borderId="2" xfId="19" applyFont="1" applyFill="1" applyBorder="1" applyAlignment="1">
      <alignment wrapText="1"/>
      <protection/>
    </xf>
    <xf numFmtId="168" fontId="0" fillId="3" borderId="3" xfId="0" applyNumberFormat="1" applyFill="1" applyBorder="1" applyAlignment="1">
      <alignment/>
    </xf>
    <xf numFmtId="0" fontId="3" fillId="2" borderId="2" xfId="19" applyFont="1" applyFill="1" applyBorder="1" applyAlignment="1">
      <alignment wrapText="1"/>
      <protection/>
    </xf>
    <xf numFmtId="17" fontId="3" fillId="4" borderId="2" xfId="20" applyNumberFormat="1" applyFont="1" applyFill="1" applyBorder="1" applyAlignment="1">
      <alignment horizontal="center"/>
      <protection/>
    </xf>
    <xf numFmtId="170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170" fontId="4" fillId="3" borderId="5" xfId="0" applyNumberFormat="1" applyFont="1" applyFill="1" applyBorder="1" applyAlignment="1">
      <alignment/>
    </xf>
    <xf numFmtId="0" fontId="3" fillId="3" borderId="2" xfId="19" applyFont="1" applyFill="1" applyBorder="1" applyAlignment="1">
      <alignment wrapText="1"/>
      <protection/>
    </xf>
    <xf numFmtId="170" fontId="4" fillId="3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5" borderId="1" xfId="19" applyFont="1" applyFill="1" applyBorder="1" applyAlignment="1">
      <alignment wrapText="1"/>
      <protection/>
    </xf>
    <xf numFmtId="3" fontId="0" fillId="6" borderId="1" xfId="0" applyNumberFormat="1" applyFill="1" applyBorder="1" applyAlignment="1">
      <alignment/>
    </xf>
    <xf numFmtId="0" fontId="1" fillId="5" borderId="2" xfId="19" applyFont="1" applyFill="1" applyBorder="1" applyAlignment="1">
      <alignment wrapText="1"/>
      <protection/>
    </xf>
    <xf numFmtId="3" fontId="0" fillId="6" borderId="2" xfId="0" applyNumberFormat="1" applyFill="1" applyBorder="1" applyAlignment="1">
      <alignment/>
    </xf>
    <xf numFmtId="0" fontId="3" fillId="5" borderId="3" xfId="19" applyFont="1" applyFill="1" applyBorder="1" applyAlignment="1">
      <alignment wrapText="1"/>
      <protection/>
    </xf>
    <xf numFmtId="168" fontId="0" fillId="6" borderId="1" xfId="0" applyNumberFormat="1" applyFill="1" applyBorder="1" applyAlignment="1">
      <alignment/>
    </xf>
    <xf numFmtId="168" fontId="0" fillId="6" borderId="2" xfId="0" applyNumberFormat="1" applyFill="1" applyBorder="1" applyAlignment="1">
      <alignment/>
    </xf>
    <xf numFmtId="168" fontId="4" fillId="6" borderId="3" xfId="0" applyNumberFormat="1" applyFont="1" applyFill="1" applyBorder="1" applyAlignment="1">
      <alignment/>
    </xf>
    <xf numFmtId="0" fontId="1" fillId="5" borderId="3" xfId="19" applyFont="1" applyFill="1" applyBorder="1" applyAlignment="1">
      <alignment wrapText="1"/>
      <protection/>
    </xf>
    <xf numFmtId="168" fontId="0" fillId="6" borderId="3" xfId="0" applyNumberFormat="1" applyFill="1" applyBorder="1" applyAlignment="1">
      <alignment/>
    </xf>
    <xf numFmtId="3" fontId="0" fillId="6" borderId="3" xfId="0" applyNumberFormat="1" applyFill="1" applyBorder="1" applyAlignment="1">
      <alignment/>
    </xf>
    <xf numFmtId="0" fontId="1" fillId="7" borderId="1" xfId="19" applyFont="1" applyFill="1" applyBorder="1" applyAlignment="1">
      <alignment wrapText="1"/>
      <protection/>
    </xf>
    <xf numFmtId="3" fontId="0" fillId="8" borderId="1" xfId="0" applyNumberFormat="1" applyFill="1" applyBorder="1" applyAlignment="1">
      <alignment/>
    </xf>
    <xf numFmtId="0" fontId="1" fillId="7" borderId="2" xfId="19" applyFont="1" applyFill="1" applyBorder="1" applyAlignment="1">
      <alignment wrapText="1"/>
      <protection/>
    </xf>
    <xf numFmtId="3" fontId="0" fillId="8" borderId="2" xfId="0" applyNumberFormat="1" applyFill="1" applyBorder="1" applyAlignment="1">
      <alignment/>
    </xf>
    <xf numFmtId="0" fontId="3" fillId="7" borderId="3" xfId="19" applyFont="1" applyFill="1" applyBorder="1" applyAlignment="1">
      <alignment wrapText="1"/>
      <protection/>
    </xf>
    <xf numFmtId="168" fontId="0" fillId="8" borderId="1" xfId="0" applyNumberFormat="1" applyFill="1" applyBorder="1" applyAlignment="1">
      <alignment/>
    </xf>
    <xf numFmtId="168" fontId="0" fillId="8" borderId="2" xfId="0" applyNumberFormat="1" applyFill="1" applyBorder="1" applyAlignment="1">
      <alignment/>
    </xf>
    <xf numFmtId="0" fontId="1" fillId="7" borderId="3" xfId="19" applyFont="1" applyFill="1" applyBorder="1" applyAlignment="1">
      <alignment wrapText="1"/>
      <protection/>
    </xf>
    <xf numFmtId="3" fontId="0" fillId="8" borderId="3" xfId="0" applyNumberFormat="1" applyFill="1" applyBorder="1" applyAlignment="1">
      <alignment/>
    </xf>
    <xf numFmtId="0" fontId="3" fillId="7" borderId="2" xfId="19" applyFont="1" applyFill="1" applyBorder="1" applyAlignment="1">
      <alignment wrapText="1"/>
      <protection/>
    </xf>
    <xf numFmtId="168" fontId="0" fillId="8" borderId="3" xfId="0" applyNumberFormat="1" applyFill="1" applyBorder="1" applyAlignment="1">
      <alignment/>
    </xf>
    <xf numFmtId="0" fontId="1" fillId="0" borderId="0" xfId="21" applyFont="1" applyFill="1" applyBorder="1" applyAlignment="1">
      <alignment wrapText="1"/>
      <protection/>
    </xf>
    <xf numFmtId="169" fontId="1" fillId="0" borderId="0" xfId="21" applyNumberFormat="1" applyFont="1" applyFill="1" applyBorder="1" applyAlignment="1">
      <alignment horizontal="right" wrapText="1"/>
      <protection/>
    </xf>
    <xf numFmtId="0" fontId="9" fillId="7" borderId="2" xfId="19" applyFont="1" applyFill="1" applyBorder="1" applyAlignment="1">
      <alignment wrapText="1"/>
      <protection/>
    </xf>
    <xf numFmtId="17" fontId="3" fillId="9" borderId="2" xfId="20" applyNumberFormat="1" applyFont="1" applyFill="1" applyBorder="1" applyAlignment="1">
      <alignment horizontal="center"/>
      <protection/>
    </xf>
    <xf numFmtId="3" fontId="4" fillId="8" borderId="5" xfId="0" applyNumberFormat="1" applyFont="1" applyFill="1" applyBorder="1" applyAlignment="1">
      <alignment/>
    </xf>
    <xf numFmtId="0" fontId="3" fillId="8" borderId="2" xfId="19" applyFont="1" applyFill="1" applyBorder="1" applyAlignment="1">
      <alignment wrapText="1"/>
      <protection/>
    </xf>
    <xf numFmtId="3" fontId="4" fillId="8" borderId="6" xfId="0" applyNumberFormat="1" applyFont="1" applyFill="1" applyBorder="1" applyAlignment="1">
      <alignment/>
    </xf>
    <xf numFmtId="168" fontId="4" fillId="8" borderId="3" xfId="0" applyNumberFormat="1" applyFont="1" applyFill="1" applyBorder="1" applyAlignment="1">
      <alignment/>
    </xf>
    <xf numFmtId="0" fontId="3" fillId="8" borderId="7" xfId="19" applyFont="1" applyFill="1" applyBorder="1" applyAlignment="1">
      <alignment wrapText="1"/>
      <protection/>
    </xf>
    <xf numFmtId="168" fontId="4" fillId="8" borderId="2" xfId="0" applyNumberFormat="1" applyFont="1" applyFill="1" applyBorder="1" applyAlignment="1">
      <alignment/>
    </xf>
    <xf numFmtId="0" fontId="9" fillId="5" borderId="2" xfId="19" applyFont="1" applyFill="1" applyBorder="1" applyAlignment="1">
      <alignment wrapText="1"/>
      <protection/>
    </xf>
    <xf numFmtId="17" fontId="3" fillId="10" borderId="2" xfId="20" applyNumberFormat="1" applyFont="1" applyFill="1" applyBorder="1" applyAlignment="1">
      <alignment horizontal="center"/>
      <protection/>
    </xf>
    <xf numFmtId="3" fontId="4" fillId="6" borderId="5" xfId="0" applyNumberFormat="1" applyFont="1" applyFill="1" applyBorder="1" applyAlignment="1">
      <alignment/>
    </xf>
    <xf numFmtId="0" fontId="3" fillId="5" borderId="2" xfId="19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3" fillId="3" borderId="8" xfId="19" applyFont="1" applyFill="1" applyBorder="1" applyAlignment="1">
      <alignment wrapText="1"/>
      <protection/>
    </xf>
    <xf numFmtId="170" fontId="4" fillId="3" borderId="8" xfId="0" applyNumberFormat="1" applyFont="1" applyFill="1" applyBorder="1" applyAlignment="1">
      <alignment/>
    </xf>
    <xf numFmtId="168" fontId="4" fillId="3" borderId="8" xfId="0" applyNumberFormat="1" applyFont="1" applyFill="1" applyBorder="1" applyAlignment="1">
      <alignment/>
    </xf>
    <xf numFmtId="0" fontId="3" fillId="3" borderId="1" xfId="19" applyFont="1" applyFill="1" applyBorder="1" applyAlignment="1">
      <alignment wrapText="1"/>
      <protection/>
    </xf>
    <xf numFmtId="168" fontId="4" fillId="3" borderId="1" xfId="0" applyNumberFormat="1" applyFont="1" applyFill="1" applyBorder="1" applyAlignment="1">
      <alignment/>
    </xf>
    <xf numFmtId="0" fontId="3" fillId="6" borderId="8" xfId="19" applyFont="1" applyFill="1" applyBorder="1" applyAlignment="1">
      <alignment wrapText="1"/>
      <protection/>
    </xf>
    <xf numFmtId="168" fontId="4" fillId="6" borderId="8" xfId="0" applyNumberFormat="1" applyFont="1" applyFill="1" applyBorder="1" applyAlignment="1">
      <alignment/>
    </xf>
    <xf numFmtId="3" fontId="4" fillId="6" borderId="8" xfId="0" applyNumberFormat="1" applyFont="1" applyFill="1" applyBorder="1" applyAlignment="1">
      <alignment/>
    </xf>
    <xf numFmtId="0" fontId="3" fillId="6" borderId="1" xfId="19" applyFont="1" applyFill="1" applyBorder="1" applyAlignment="1">
      <alignment wrapText="1"/>
      <protection/>
    </xf>
    <xf numFmtId="3" fontId="4" fillId="6" borderId="1" xfId="0" applyNumberFormat="1" applyFont="1" applyFill="1" applyBorder="1" applyAlignment="1">
      <alignment/>
    </xf>
    <xf numFmtId="168" fontId="4" fillId="6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3" fillId="11" borderId="2" xfId="23" applyNumberFormat="1" applyFont="1" applyFill="1" applyBorder="1" applyAlignment="1">
      <alignment horizontal="center" wrapText="1"/>
      <protection/>
    </xf>
    <xf numFmtId="0" fontId="1" fillId="12" borderId="9" xfId="21" applyFont="1" applyFill="1" applyBorder="1" applyAlignment="1">
      <alignment horizontal="center" wrapText="1"/>
      <protection/>
    </xf>
    <xf numFmtId="0" fontId="1" fillId="13" borderId="10" xfId="23" applyFont="1" applyFill="1" applyBorder="1" applyAlignment="1">
      <alignment wrapText="1"/>
      <protection/>
    </xf>
    <xf numFmtId="0" fontId="1" fillId="13" borderId="11" xfId="23" applyFont="1" applyFill="1" applyBorder="1" applyAlignment="1">
      <alignment wrapText="1"/>
      <protection/>
    </xf>
    <xf numFmtId="168" fontId="1" fillId="7" borderId="11" xfId="23" applyNumberFormat="1" applyFont="1" applyFill="1" applyBorder="1" applyAlignment="1">
      <alignment horizontal="right" wrapText="1"/>
      <protection/>
    </xf>
    <xf numFmtId="0" fontId="1" fillId="14" borderId="12" xfId="21" applyFont="1" applyFill="1" applyBorder="1" applyAlignment="1">
      <alignment horizontal="center"/>
      <protection/>
    </xf>
    <xf numFmtId="0" fontId="1" fillId="0" borderId="10" xfId="21" applyFont="1" applyFill="1" applyBorder="1" applyAlignment="1">
      <alignment wrapText="1"/>
      <protection/>
    </xf>
    <xf numFmtId="0" fontId="1" fillId="14" borderId="12" xfId="22" applyFont="1" applyFill="1" applyBorder="1" applyAlignment="1">
      <alignment horizontal="center"/>
      <protection/>
    </xf>
    <xf numFmtId="0" fontId="1" fillId="0" borderId="10" xfId="22" applyFont="1" applyFill="1" applyBorder="1" applyAlignment="1">
      <alignment wrapText="1"/>
      <protection/>
    </xf>
    <xf numFmtId="0" fontId="1" fillId="14" borderId="12" xfId="23" applyFont="1" applyFill="1" applyBorder="1" applyAlignment="1">
      <alignment horizontal="center"/>
      <protection/>
    </xf>
    <xf numFmtId="0" fontId="1" fillId="0" borderId="10" xfId="23" applyFont="1" applyFill="1" applyBorder="1" applyAlignment="1">
      <alignment wrapText="1"/>
      <protection/>
    </xf>
    <xf numFmtId="0" fontId="1" fillId="0" borderId="0" xfId="23" applyFont="1" applyFill="1" applyBorder="1" applyAlignment="1">
      <alignment wrapText="1"/>
      <protection/>
    </xf>
    <xf numFmtId="3" fontId="1" fillId="0" borderId="0" xfId="23" applyNumberFormat="1" applyFont="1" applyFill="1" applyBorder="1" applyAlignment="1">
      <alignment horizontal="right" wrapText="1"/>
      <protection/>
    </xf>
    <xf numFmtId="17" fontId="1" fillId="11" borderId="9" xfId="23" applyNumberFormat="1" applyFont="1" applyFill="1" applyBorder="1" applyAlignment="1">
      <alignment horizontal="center"/>
      <protection/>
    </xf>
    <xf numFmtId="0" fontId="1" fillId="2" borderId="13" xfId="19" applyFont="1" applyFill="1" applyBorder="1" applyAlignment="1">
      <alignment wrapText="1"/>
      <protection/>
    </xf>
    <xf numFmtId="170" fontId="0" fillId="3" borderId="8" xfId="0" applyNumberFormat="1" applyFill="1" applyBorder="1" applyAlignment="1">
      <alignment/>
    </xf>
    <xf numFmtId="0" fontId="1" fillId="2" borderId="8" xfId="19" applyFont="1" applyFill="1" applyBorder="1" applyAlignment="1">
      <alignment wrapText="1"/>
      <protection/>
    </xf>
    <xf numFmtId="168" fontId="0" fillId="3" borderId="8" xfId="0" applyNumberFormat="1" applyFill="1" applyBorder="1" applyAlignment="1">
      <alignment/>
    </xf>
    <xf numFmtId="0" fontId="1" fillId="5" borderId="13" xfId="19" applyFont="1" applyFill="1" applyBorder="1" applyAlignment="1">
      <alignment wrapText="1"/>
      <protection/>
    </xf>
    <xf numFmtId="168" fontId="0" fillId="6" borderId="13" xfId="0" applyNumberFormat="1" applyFill="1" applyBorder="1" applyAlignment="1">
      <alignment/>
    </xf>
    <xf numFmtId="0" fontId="1" fillId="0" borderId="11" xfId="21" applyFont="1" applyFill="1" applyBorder="1" applyAlignment="1">
      <alignment wrapText="1"/>
      <protection/>
    </xf>
    <xf numFmtId="170" fontId="1" fillId="0" borderId="11" xfId="21" applyNumberFormat="1" applyFont="1" applyFill="1" applyBorder="1" applyAlignment="1">
      <alignment horizontal="right" wrapText="1"/>
      <protection/>
    </xf>
    <xf numFmtId="0" fontId="1" fillId="11" borderId="2" xfId="21" applyFont="1" applyFill="1" applyBorder="1" applyAlignment="1">
      <alignment horizontal="center" wrapText="1"/>
      <protection/>
    </xf>
    <xf numFmtId="0" fontId="1" fillId="0" borderId="10" xfId="21" applyFont="1" applyFill="1" applyBorder="1" applyAlignment="1">
      <alignment horizontal="right" wrapText="1"/>
      <protection/>
    </xf>
    <xf numFmtId="169" fontId="1" fillId="0" borderId="10" xfId="21" applyNumberFormat="1" applyFont="1" applyFill="1" applyBorder="1" applyAlignment="1">
      <alignment horizontal="right" wrapText="1"/>
      <protection/>
    </xf>
    <xf numFmtId="170" fontId="1" fillId="0" borderId="0" xfId="21" applyNumberFormat="1" applyFont="1" applyFill="1" applyBorder="1" applyAlignment="1">
      <alignment horizontal="right" wrapText="1"/>
      <protection/>
    </xf>
    <xf numFmtId="0" fontId="1" fillId="15" borderId="3" xfId="20" applyFont="1" applyFill="1" applyBorder="1" applyAlignment="1">
      <alignment wrapText="1"/>
      <protection/>
    </xf>
    <xf numFmtId="3" fontId="0" fillId="16" borderId="1" xfId="0" applyNumberFormat="1" applyFill="1" applyBorder="1" applyAlignment="1">
      <alignment/>
    </xf>
    <xf numFmtId="0" fontId="1" fillId="15" borderId="1" xfId="20" applyFont="1" applyFill="1" applyBorder="1" applyAlignment="1">
      <alignment wrapText="1"/>
      <protection/>
    </xf>
    <xf numFmtId="170" fontId="0" fillId="16" borderId="1" xfId="0" applyNumberFormat="1" applyFill="1" applyBorder="1" applyAlignment="1">
      <alignment/>
    </xf>
    <xf numFmtId="0" fontId="1" fillId="0" borderId="10" xfId="22" applyFont="1" applyFill="1" applyBorder="1" applyAlignment="1">
      <alignment horizontal="right" wrapText="1"/>
      <protection/>
    </xf>
    <xf numFmtId="3" fontId="1" fillId="0" borderId="11" xfId="21" applyNumberFormat="1" applyFont="1" applyFill="1" applyBorder="1" applyAlignment="1">
      <alignment horizontal="right" wrapText="1"/>
      <protection/>
    </xf>
    <xf numFmtId="17" fontId="1" fillId="11" borderId="2" xfId="21" applyNumberFormat="1" applyFont="1" applyFill="1" applyBorder="1" applyAlignment="1">
      <alignment horizontal="center"/>
      <protection/>
    </xf>
    <xf numFmtId="0" fontId="1" fillId="0" borderId="10" xfId="23" applyFont="1" applyFill="1" applyBorder="1" applyAlignment="1">
      <alignment horizontal="right" wrapText="1"/>
      <protection/>
    </xf>
    <xf numFmtId="10" fontId="4" fillId="6" borderId="4" xfId="0" applyNumberFormat="1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Feuil2" xfId="20"/>
    <cellStyle name="Normal_Req1" xfId="21"/>
    <cellStyle name="Normal_Req2" xfId="22"/>
    <cellStyle name="Normal_Req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Montant cumulé annuel - Total panier 11 hypolipémiants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- 1943 médecins non visités au 16/01/07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Req1!$B$108</c:f>
              <c:strCache>
                <c:ptCount val="1"/>
                <c:pt idx="0">
                  <c:v>Total panier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Req1!$C$108:$V$108</c:f>
              <c:numCache>
                <c:ptCount val="20"/>
                <c:pt idx="0">
                  <c:v>5874564.620500001</c:v>
                </c:pt>
                <c:pt idx="1">
                  <c:v>5909510.170499999</c:v>
                </c:pt>
                <c:pt idx="2">
                  <c:v>5979641.774</c:v>
                </c:pt>
                <c:pt idx="3">
                  <c:v>6012296.0665</c:v>
                </c:pt>
                <c:pt idx="4">
                  <c:v>6055553.564</c:v>
                </c:pt>
                <c:pt idx="5">
                  <c:v>6088501.693000002</c:v>
                </c:pt>
                <c:pt idx="6">
                  <c:v>6133041.6925</c:v>
                </c:pt>
                <c:pt idx="7">
                  <c:v>6172767.901999999</c:v>
                </c:pt>
                <c:pt idx="8">
                  <c:v>6251515.99</c:v>
                </c:pt>
                <c:pt idx="9">
                  <c:v>6235277.9775</c:v>
                </c:pt>
                <c:pt idx="10">
                  <c:v>6230763.8585</c:v>
                </c:pt>
                <c:pt idx="11">
                  <c:v>6269469.387499999</c:v>
                </c:pt>
                <c:pt idx="12">
                  <c:v>6314780.604</c:v>
                </c:pt>
                <c:pt idx="13">
                  <c:v>6336431.7432</c:v>
                </c:pt>
                <c:pt idx="14">
                  <c:v>6367630.6018</c:v>
                </c:pt>
                <c:pt idx="15">
                  <c:v>6371540.035599999</c:v>
                </c:pt>
                <c:pt idx="16">
                  <c:v>6439470.238300001</c:v>
                </c:pt>
                <c:pt idx="17">
                  <c:v>6465466.1037</c:v>
                </c:pt>
                <c:pt idx="18">
                  <c:v>6435039.865799999</c:v>
                </c:pt>
                <c:pt idx="19">
                  <c:v>6504454.9925999995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Req1!$C$109:$V$109</c:f>
              <c:numCache>
                <c:ptCount val="20"/>
                <c:pt idx="0">
                  <c:v>2855199.9595</c:v>
                </c:pt>
                <c:pt idx="1">
                  <c:v>2837144.9165</c:v>
                </c:pt>
                <c:pt idx="2">
                  <c:v>2832377.968</c:v>
                </c:pt>
                <c:pt idx="3">
                  <c:v>2809974.3995</c:v>
                </c:pt>
                <c:pt idx="4">
                  <c:v>2792647.9524999997</c:v>
                </c:pt>
                <c:pt idx="5">
                  <c:v>2768495.6780000003</c:v>
                </c:pt>
                <c:pt idx="6">
                  <c:v>2743531.4255</c:v>
                </c:pt>
                <c:pt idx="7">
                  <c:v>2719929.568</c:v>
                </c:pt>
                <c:pt idx="8">
                  <c:v>2714271.37</c:v>
                </c:pt>
                <c:pt idx="9">
                  <c:v>2661678.6655</c:v>
                </c:pt>
                <c:pt idx="10">
                  <c:v>2618598.734</c:v>
                </c:pt>
                <c:pt idx="11">
                  <c:v>2590506.5645000003</c:v>
                </c:pt>
                <c:pt idx="12">
                  <c:v>2571639.6345</c:v>
                </c:pt>
                <c:pt idx="13">
                  <c:v>2538562.794</c:v>
                </c:pt>
                <c:pt idx="14">
                  <c:v>2506401.9680000003</c:v>
                </c:pt>
                <c:pt idx="15">
                  <c:v>2460489.7297</c:v>
                </c:pt>
                <c:pt idx="16">
                  <c:v>2434283.2191999997</c:v>
                </c:pt>
                <c:pt idx="17">
                  <c:v>2390496.1102</c:v>
                </c:pt>
                <c:pt idx="18">
                  <c:v>2336159.3506</c:v>
                </c:pt>
                <c:pt idx="19">
                  <c:v>2310700.4552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Req1!$B$110</c:f>
              <c:strCache>
                <c:ptCount val="1"/>
                <c:pt idx="0">
                  <c:v>Statines "stricto sensu"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Req1!$C$110:$V$110</c:f>
              <c:numCache>
                <c:ptCount val="20"/>
                <c:pt idx="0">
                  <c:v>5281296.888</c:v>
                </c:pt>
                <c:pt idx="1">
                  <c:v>5295657.983</c:v>
                </c:pt>
                <c:pt idx="2">
                  <c:v>5339509.064</c:v>
                </c:pt>
                <c:pt idx="3">
                  <c:v>5347550.1245</c:v>
                </c:pt>
                <c:pt idx="4">
                  <c:v>5362294.379</c:v>
                </c:pt>
                <c:pt idx="5">
                  <c:v>5366820.860500001</c:v>
                </c:pt>
                <c:pt idx="6">
                  <c:v>5379336.8815</c:v>
                </c:pt>
                <c:pt idx="7">
                  <c:v>5388021.407</c:v>
                </c:pt>
                <c:pt idx="8">
                  <c:v>5434036.6015</c:v>
                </c:pt>
                <c:pt idx="9">
                  <c:v>5392486.07</c:v>
                </c:pt>
                <c:pt idx="10">
                  <c:v>5366820.6865</c:v>
                </c:pt>
                <c:pt idx="11">
                  <c:v>5379620.1305</c:v>
                </c:pt>
                <c:pt idx="12">
                  <c:v>5400670.0235</c:v>
                </c:pt>
                <c:pt idx="13">
                  <c:v>5401660.5112</c:v>
                </c:pt>
                <c:pt idx="14">
                  <c:v>5406378.8903</c:v>
                </c:pt>
                <c:pt idx="15">
                  <c:v>5388533.871599999</c:v>
                </c:pt>
                <c:pt idx="16">
                  <c:v>5420881.022000001</c:v>
                </c:pt>
                <c:pt idx="17">
                  <c:v>5415226.7848</c:v>
                </c:pt>
                <c:pt idx="18">
                  <c:v>5360114.408199999</c:v>
                </c:pt>
                <c:pt idx="19">
                  <c:v>5382620.1905000005</c:v>
                </c:pt>
              </c:numCache>
            </c:numRef>
          </c:val>
          <c:smooth val="0"/>
        </c:ser>
        <c:marker val="1"/>
        <c:axId val="28150660"/>
        <c:axId val="52029349"/>
      </c:lineChart>
      <c:dateAx>
        <c:axId val="2815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29349"/>
        <c:crosses val="autoZero"/>
        <c:auto val="0"/>
        <c:noMultiLvlLbl val="0"/>
      </c:dateAx>
      <c:valAx>
        <c:axId val="520293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Montant annuel total remboursé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1506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 de boites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- 1943 médecins non visités au 16/01/07</a:t>
            </a:r>
          </a:p>
        </c:rich>
      </c:tx>
      <c:layout>
        <c:manualLayout>
          <c:xMode val="factor"/>
          <c:yMode val="factor"/>
          <c:x val="-0.06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25"/>
          <c:w val="0.767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Req3!$B$133</c:f>
              <c:strCache>
                <c:ptCount val="1"/>
                <c:pt idx="0">
                  <c:v>Simvastatine 10mg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Req3!$C$133:$AG$133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7.159733657907926E-05</c:v>
                </c:pt>
                <c:pt idx="18">
                  <c:v>0.0004908068108883604</c:v>
                </c:pt>
                <c:pt idx="19">
                  <c:v>0.0006125574272588055</c:v>
                </c:pt>
                <c:pt idx="20">
                  <c:v>0.0006537971852310656</c:v>
                </c:pt>
                <c:pt idx="21">
                  <c:v>0.0014434518004135294</c:v>
                </c:pt>
                <c:pt idx="22">
                  <c:v>0.0013843400749569503</c:v>
                </c:pt>
                <c:pt idx="23">
                  <c:v>0.0016668981803028198</c:v>
                </c:pt>
                <c:pt idx="24">
                  <c:v>0.0015863646425145724</c:v>
                </c:pt>
                <c:pt idx="25">
                  <c:v>0.0018715558174193325</c:v>
                </c:pt>
                <c:pt idx="26">
                  <c:v>0.0019368295589988081</c:v>
                </c:pt>
                <c:pt idx="27">
                  <c:v>0.002211148146925844</c:v>
                </c:pt>
                <c:pt idx="28">
                  <c:v>0.002412046449123049</c:v>
                </c:pt>
                <c:pt idx="29">
                  <c:v>0.0019860614595746218</c:v>
                </c:pt>
                <c:pt idx="30">
                  <c:v>0.0018569225442986183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Req3!$B$134</c:f>
              <c:strCache>
                <c:ptCount val="1"/>
                <c:pt idx="0">
                  <c:v>Simvastatine 20mg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Req3!$C$134:$AG$134</c:f>
              <c:numCache>
                <c:ptCount val="31"/>
                <c:pt idx="0">
                  <c:v>0.17008928571428572</c:v>
                </c:pt>
                <c:pt idx="1">
                  <c:v>0.1697993931220499</c:v>
                </c:pt>
                <c:pt idx="2">
                  <c:v>0.16762448257846724</c:v>
                </c:pt>
                <c:pt idx="3">
                  <c:v>0.16585667215815486</c:v>
                </c:pt>
                <c:pt idx="4">
                  <c:v>0.1638007995963203</c:v>
                </c:pt>
                <c:pt idx="5">
                  <c:v>0.16203828525208952</c:v>
                </c:pt>
                <c:pt idx="6">
                  <c:v>0.16133462594926481</c:v>
                </c:pt>
                <c:pt idx="7">
                  <c:v>0.15678310316815597</c:v>
                </c:pt>
                <c:pt idx="8">
                  <c:v>0.15546049993316402</c:v>
                </c:pt>
                <c:pt idx="9">
                  <c:v>0.15209905204101373</c:v>
                </c:pt>
                <c:pt idx="10">
                  <c:v>0.15118483412322276</c:v>
                </c:pt>
                <c:pt idx="11">
                  <c:v>0.15226568045126826</c:v>
                </c:pt>
                <c:pt idx="12">
                  <c:v>0.15134865134865136</c:v>
                </c:pt>
                <c:pt idx="13">
                  <c:v>0.1525480554313813</c:v>
                </c:pt>
                <c:pt idx="14">
                  <c:v>0.15050243605359317</c:v>
                </c:pt>
                <c:pt idx="15">
                  <c:v>0.1505404993909866</c:v>
                </c:pt>
                <c:pt idx="16">
                  <c:v>0.14961702754455738</c:v>
                </c:pt>
                <c:pt idx="17">
                  <c:v>0.14695353332856018</c:v>
                </c:pt>
                <c:pt idx="18">
                  <c:v>0.1496960773209499</c:v>
                </c:pt>
                <c:pt idx="19">
                  <c:v>0.14620980091883615</c:v>
                </c:pt>
                <c:pt idx="20">
                  <c:v>0.14476446096142598</c:v>
                </c:pt>
                <c:pt idx="21">
                  <c:v>0.13939062926696055</c:v>
                </c:pt>
                <c:pt idx="22">
                  <c:v>0.14052739980416654</c:v>
                </c:pt>
                <c:pt idx="23">
                  <c:v>0.13908181691901653</c:v>
                </c:pt>
                <c:pt idx="24">
                  <c:v>0.13550505423153544</c:v>
                </c:pt>
                <c:pt idx="25">
                  <c:v>0.13686618375905452</c:v>
                </c:pt>
                <c:pt idx="26">
                  <c:v>0.13673271752085817</c:v>
                </c:pt>
                <c:pt idx="27">
                  <c:v>0.1325038777598099</c:v>
                </c:pt>
                <c:pt idx="28">
                  <c:v>0.12969918334998795</c:v>
                </c:pt>
                <c:pt idx="29">
                  <c:v>0.13122449716534865</c:v>
                </c:pt>
                <c:pt idx="30">
                  <c:v>0.12812765555660466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Req3!$B$135</c:f>
              <c:strCache>
                <c:ptCount val="1"/>
                <c:pt idx="0">
                  <c:v>Simvastatine 40mg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Req3!$C$135:$AG$135</c:f>
              <c:numCache>
                <c:ptCount val="31"/>
                <c:pt idx="0">
                  <c:v>0.026501623376623377</c:v>
                </c:pt>
                <c:pt idx="1">
                  <c:v>0.026298044504383007</c:v>
                </c:pt>
                <c:pt idx="2">
                  <c:v>0.026483944861953945</c:v>
                </c:pt>
                <c:pt idx="3">
                  <c:v>0.026400329489291597</c:v>
                </c:pt>
                <c:pt idx="4">
                  <c:v>0.026355626285758646</c:v>
                </c:pt>
                <c:pt idx="5">
                  <c:v>0.02811693563917883</c:v>
                </c:pt>
                <c:pt idx="6">
                  <c:v>0.027750848279205043</c:v>
                </c:pt>
                <c:pt idx="7">
                  <c:v>0.028567560249119956</c:v>
                </c:pt>
                <c:pt idx="8">
                  <c:v>0.027235663681326027</c:v>
                </c:pt>
                <c:pt idx="9">
                  <c:v>0.027664925517508224</c:v>
                </c:pt>
                <c:pt idx="10">
                  <c:v>0.029383886255924172</c:v>
                </c:pt>
                <c:pt idx="11">
                  <c:v>0.028054839553214538</c:v>
                </c:pt>
                <c:pt idx="12">
                  <c:v>0.028548374702220856</c:v>
                </c:pt>
                <c:pt idx="13">
                  <c:v>0.029615556548949484</c:v>
                </c:pt>
                <c:pt idx="14">
                  <c:v>0.029232643118148598</c:v>
                </c:pt>
                <c:pt idx="15">
                  <c:v>0.028623629719853837</c:v>
                </c:pt>
                <c:pt idx="16">
                  <c:v>0.0294962439239947</c:v>
                </c:pt>
                <c:pt idx="17">
                  <c:v>0.028531538626763085</c:v>
                </c:pt>
                <c:pt idx="18">
                  <c:v>0.027824970740363195</c:v>
                </c:pt>
                <c:pt idx="19">
                  <c:v>0.028330781010719754</c:v>
                </c:pt>
                <c:pt idx="20">
                  <c:v>0.028182099721275937</c:v>
                </c:pt>
                <c:pt idx="21">
                  <c:v>0.0269964498888152</c:v>
                </c:pt>
                <c:pt idx="22">
                  <c:v>0.026673869736975386</c:v>
                </c:pt>
                <c:pt idx="23">
                  <c:v>0.026218919294346436</c:v>
                </c:pt>
                <c:pt idx="24">
                  <c:v>0.025640079687154135</c:v>
                </c:pt>
                <c:pt idx="25">
                  <c:v>0.025231345094097666</c:v>
                </c:pt>
                <c:pt idx="26">
                  <c:v>0.02558849821215733</c:v>
                </c:pt>
                <c:pt idx="27">
                  <c:v>0.02458664730536946</c:v>
                </c:pt>
                <c:pt idx="28">
                  <c:v>0.024602873781055096</c:v>
                </c:pt>
                <c:pt idx="29">
                  <c:v>0.02383273751489546</c:v>
                </c:pt>
                <c:pt idx="30">
                  <c:v>0.02426588612973279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Req3!$B$136</c:f>
              <c:strCache>
                <c:ptCount val="1"/>
                <c:pt idx="0">
                  <c:v>Pravastatine 10mg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Req3!$C$136:$AG$136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0.00016501105574073463</c:v>
                </c:pt>
                <c:pt idx="28">
                  <c:v>0.0002756624513283484</c:v>
                </c:pt>
                <c:pt idx="29">
                  <c:v>0.000505542916982631</c:v>
                </c:pt>
                <c:pt idx="30">
                  <c:v>0.0007553583231045227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Req3!$B$137</c:f>
              <c:strCache>
                <c:ptCount val="1"/>
                <c:pt idx="0">
                  <c:v>Pravastatine 20mg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Req3!$C$137:$AG$137</c:f>
              <c:numCache>
                <c:ptCount val="31"/>
                <c:pt idx="0">
                  <c:v>0.19277597402597402</c:v>
                </c:pt>
                <c:pt idx="1">
                  <c:v>0.1919251517194875</c:v>
                </c:pt>
                <c:pt idx="2">
                  <c:v>0.1908130048627577</c:v>
                </c:pt>
                <c:pt idx="3">
                  <c:v>0.18892092257001647</c:v>
                </c:pt>
                <c:pt idx="4">
                  <c:v>0.18941893413034197</c:v>
                </c:pt>
                <c:pt idx="5">
                  <c:v>0.18734352732735046</c:v>
                </c:pt>
                <c:pt idx="6">
                  <c:v>0.18343027952819518</c:v>
                </c:pt>
                <c:pt idx="7">
                  <c:v>0.18571170683274663</c:v>
                </c:pt>
                <c:pt idx="8">
                  <c:v>0.17765004678518914</c:v>
                </c:pt>
                <c:pt idx="9">
                  <c:v>0.17802282840007738</c:v>
                </c:pt>
                <c:pt idx="10">
                  <c:v>0.177761574917973</c:v>
                </c:pt>
                <c:pt idx="11">
                  <c:v>0.1741193171205499</c:v>
                </c:pt>
                <c:pt idx="12">
                  <c:v>0.1724813647890571</c:v>
                </c:pt>
                <c:pt idx="13">
                  <c:v>0.17158396662196393</c:v>
                </c:pt>
                <c:pt idx="14">
                  <c:v>0.1686967113276492</c:v>
                </c:pt>
                <c:pt idx="15">
                  <c:v>0.16580389768574907</c:v>
                </c:pt>
                <c:pt idx="16">
                  <c:v>0.16449403446752098</c:v>
                </c:pt>
                <c:pt idx="17">
                  <c:v>0.1615235913224028</c:v>
                </c:pt>
                <c:pt idx="18">
                  <c:v>0.16053158153056216</c:v>
                </c:pt>
                <c:pt idx="19">
                  <c:v>0.15769525267993875</c:v>
                </c:pt>
                <c:pt idx="20">
                  <c:v>0.1526444375623688</c:v>
                </c:pt>
                <c:pt idx="21">
                  <c:v>0.15355206179534195</c:v>
                </c:pt>
                <c:pt idx="22">
                  <c:v>0.1503866022892258</c:v>
                </c:pt>
                <c:pt idx="23">
                  <c:v>0.14748576191137658</c:v>
                </c:pt>
                <c:pt idx="24">
                  <c:v>0.1457979783073858</c:v>
                </c:pt>
                <c:pt idx="25">
                  <c:v>0.14414445638235193</c:v>
                </c:pt>
                <c:pt idx="26">
                  <c:v>0.14019666269368294</c:v>
                </c:pt>
                <c:pt idx="27">
                  <c:v>0.1378502359658097</c:v>
                </c:pt>
                <c:pt idx="28">
                  <c:v>0.1357637572792116</c:v>
                </c:pt>
                <c:pt idx="29">
                  <c:v>0.1340772036254649</c:v>
                </c:pt>
                <c:pt idx="30">
                  <c:v>0.13379284297988858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Req3!$B$138</c:f>
              <c:strCache>
                <c:ptCount val="1"/>
                <c:pt idx="0">
                  <c:v>Pravastatine 40mg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Req3!$C$138:$AG$138</c:f>
              <c:numCache>
                <c:ptCount val="31"/>
                <c:pt idx="0">
                  <c:v>0.06838474025974026</c:v>
                </c:pt>
                <c:pt idx="1">
                  <c:v>0.06814733648010789</c:v>
                </c:pt>
                <c:pt idx="2">
                  <c:v>0.06988707149459471</c:v>
                </c:pt>
                <c:pt idx="3">
                  <c:v>0.06894563426688632</c:v>
                </c:pt>
                <c:pt idx="4">
                  <c:v>0.06796568722586656</c:v>
                </c:pt>
                <c:pt idx="5">
                  <c:v>0.06832800523822363</c:v>
                </c:pt>
                <c:pt idx="6">
                  <c:v>0.0697608660526741</c:v>
                </c:pt>
                <c:pt idx="7">
                  <c:v>0.06913981406264104</c:v>
                </c:pt>
                <c:pt idx="8">
                  <c:v>0.06807245020719155</c:v>
                </c:pt>
                <c:pt idx="9">
                  <c:v>0.06767266395821242</c:v>
                </c:pt>
                <c:pt idx="10">
                  <c:v>0.06660590594239883</c:v>
                </c:pt>
                <c:pt idx="11">
                  <c:v>0.06417871418431768</c:v>
                </c:pt>
                <c:pt idx="12">
                  <c:v>0.0656266810112964</c:v>
                </c:pt>
                <c:pt idx="13">
                  <c:v>0.06303084488153778</c:v>
                </c:pt>
                <c:pt idx="14">
                  <c:v>0.06512637028014616</c:v>
                </c:pt>
                <c:pt idx="15">
                  <c:v>0.06497411693057248</c:v>
                </c:pt>
                <c:pt idx="16">
                  <c:v>0.06285903667697747</c:v>
                </c:pt>
                <c:pt idx="17">
                  <c:v>0.06114412543853369</c:v>
                </c:pt>
                <c:pt idx="18">
                  <c:v>0.0611998338807717</c:v>
                </c:pt>
                <c:pt idx="19">
                  <c:v>0.06064318529862175</c:v>
                </c:pt>
                <c:pt idx="20">
                  <c:v>0.06001169952857782</c:v>
                </c:pt>
                <c:pt idx="21">
                  <c:v>0.06027386571997035</c:v>
                </c:pt>
                <c:pt idx="22">
                  <c:v>0.05976297396765371</c:v>
                </c:pt>
                <c:pt idx="23">
                  <c:v>0.058549798583136546</c:v>
                </c:pt>
                <c:pt idx="24">
                  <c:v>0.05463734966428097</c:v>
                </c:pt>
                <c:pt idx="25">
                  <c:v>0.05600804075832669</c:v>
                </c:pt>
                <c:pt idx="26">
                  <c:v>0.054007747318235995</c:v>
                </c:pt>
                <c:pt idx="27">
                  <c:v>0.05336457542655358</c:v>
                </c:pt>
                <c:pt idx="28">
                  <c:v>0.05344405775128355</c:v>
                </c:pt>
                <c:pt idx="29">
                  <c:v>0.05149315711551656</c:v>
                </c:pt>
                <c:pt idx="30">
                  <c:v>0.05029427501337614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Req3!$B$139</c:f>
              <c:strCache>
                <c:ptCount val="1"/>
                <c:pt idx="0">
                  <c:v>PRAVADUAL 40/81mg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Req3!$C$139:$AG$139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0.0014585359077649673</c:v>
                </c:pt>
                <c:pt idx="24">
                  <c:v>0.0034678668929388327</c:v>
                </c:pt>
                <c:pt idx="25">
                  <c:v>0.003985720722281912</c:v>
                </c:pt>
                <c:pt idx="26">
                  <c:v>0.005214541120381407</c:v>
                </c:pt>
                <c:pt idx="27">
                  <c:v>0.007590508564073793</c:v>
                </c:pt>
                <c:pt idx="28">
                  <c:v>0.008648909410426932</c:v>
                </c:pt>
                <c:pt idx="29">
                  <c:v>0.01025529917307623</c:v>
                </c:pt>
                <c:pt idx="30">
                  <c:v>0.009693765146508042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Req3!$B$140</c:f>
              <c:strCache>
                <c:ptCount val="1"/>
                <c:pt idx="0">
                  <c:v>Fluvastatine 20mg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Req3!$C$140:$AG$140</c:f>
              <c:numCache>
                <c:ptCount val="31"/>
                <c:pt idx="0">
                  <c:v>0.013717532467532467</c:v>
                </c:pt>
                <c:pt idx="1">
                  <c:v>0.013612609575185435</c:v>
                </c:pt>
                <c:pt idx="2">
                  <c:v>0.013583571112807941</c:v>
                </c:pt>
                <c:pt idx="3">
                  <c:v>0.013550247116968698</c:v>
                </c:pt>
                <c:pt idx="4">
                  <c:v>0.01257617513488336</c:v>
                </c:pt>
                <c:pt idx="5">
                  <c:v>0.01259484651234449</c:v>
                </c:pt>
                <c:pt idx="6">
                  <c:v>0.012724188075618032</c:v>
                </c:pt>
                <c:pt idx="7">
                  <c:v>0.011553389295062732</c:v>
                </c:pt>
                <c:pt idx="8">
                  <c:v>0.0125651650848817</c:v>
                </c:pt>
                <c:pt idx="9">
                  <c:v>0.01195589088798607</c:v>
                </c:pt>
                <c:pt idx="10">
                  <c:v>0.012504557054320088</c:v>
                </c:pt>
                <c:pt idx="11">
                  <c:v>0.01273861556277784</c:v>
                </c:pt>
                <c:pt idx="12">
                  <c:v>0.01237224314147391</c:v>
                </c:pt>
                <c:pt idx="13">
                  <c:v>0.012106988526300105</c:v>
                </c:pt>
                <c:pt idx="14">
                  <c:v>0.012522838002436053</c:v>
                </c:pt>
                <c:pt idx="15">
                  <c:v>0.01275121802679659</c:v>
                </c:pt>
                <c:pt idx="16">
                  <c:v>0.012814847547503314</c:v>
                </c:pt>
                <c:pt idx="17">
                  <c:v>0.012601131237917949</c:v>
                </c:pt>
                <c:pt idx="18">
                  <c:v>0.012685468342960698</c:v>
                </c:pt>
                <c:pt idx="19">
                  <c:v>0.012442572741194487</c:v>
                </c:pt>
                <c:pt idx="20">
                  <c:v>0.012903891813771034</c:v>
                </c:pt>
                <c:pt idx="21">
                  <c:v>0.012405883041391955</c:v>
                </c:pt>
                <c:pt idx="22">
                  <c:v>0.012087652361819225</c:v>
                </c:pt>
                <c:pt idx="23">
                  <c:v>0.012154465898041394</c:v>
                </c:pt>
                <c:pt idx="24">
                  <c:v>0.011510366708477828</c:v>
                </c:pt>
                <c:pt idx="25">
                  <c:v>0.01174921152046581</c:v>
                </c:pt>
                <c:pt idx="26">
                  <c:v>0.010950536352800954</c:v>
                </c:pt>
                <c:pt idx="27">
                  <c:v>0.011319758423814396</c:v>
                </c:pt>
                <c:pt idx="28">
                  <c:v>0.010819751214637676</c:v>
                </c:pt>
                <c:pt idx="29">
                  <c:v>0.01094139313183837</c:v>
                </c:pt>
                <c:pt idx="30">
                  <c:v>0.01073238284077676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Req3!$B$141</c:f>
              <c:strCache>
                <c:ptCount val="1"/>
                <c:pt idx="0">
                  <c:v>Fluvastatine 40mg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Req3!$C$141:$AG$141</c:f>
              <c:numCache>
                <c:ptCount val="31"/>
                <c:pt idx="0">
                  <c:v>0.024228896103896103</c:v>
                </c:pt>
                <c:pt idx="1">
                  <c:v>0.02448583951449764</c:v>
                </c:pt>
                <c:pt idx="2">
                  <c:v>0.02531849053570711</c:v>
                </c:pt>
                <c:pt idx="3">
                  <c:v>0.025370675453047775</c:v>
                </c:pt>
                <c:pt idx="4">
                  <c:v>0.02577339595543997</c:v>
                </c:pt>
                <c:pt idx="5">
                  <c:v>0.02472749682240111</c:v>
                </c:pt>
                <c:pt idx="6">
                  <c:v>0.024802068185490387</c:v>
                </c:pt>
                <c:pt idx="7">
                  <c:v>0.02468634353280982</c:v>
                </c:pt>
                <c:pt idx="8">
                  <c:v>0.024528806309316937</c:v>
                </c:pt>
                <c:pt idx="9">
                  <c:v>0.023602244147804218</c:v>
                </c:pt>
                <c:pt idx="10">
                  <c:v>0.023587313160772876</c:v>
                </c:pt>
                <c:pt idx="11">
                  <c:v>0.0236467555754791</c:v>
                </c:pt>
                <c:pt idx="12">
                  <c:v>0.02324598478444632</c:v>
                </c:pt>
                <c:pt idx="13">
                  <c:v>0.023357174787662048</c:v>
                </c:pt>
                <c:pt idx="14">
                  <c:v>0.02249543239951279</c:v>
                </c:pt>
                <c:pt idx="15">
                  <c:v>0.02264768574908648</c:v>
                </c:pt>
                <c:pt idx="16">
                  <c:v>0.022241861835321845</c:v>
                </c:pt>
                <c:pt idx="17">
                  <c:v>0.021693992983461016</c:v>
                </c:pt>
                <c:pt idx="18">
                  <c:v>0.021293464718541173</c:v>
                </c:pt>
                <c:pt idx="19">
                  <c:v>0.02155436447166922</c:v>
                </c:pt>
                <c:pt idx="20">
                  <c:v>0.021506486356285055</c:v>
                </c:pt>
                <c:pt idx="21">
                  <c:v>0.02094955721140717</c:v>
                </c:pt>
                <c:pt idx="22">
                  <c:v>0.02012357767498396</c:v>
                </c:pt>
                <c:pt idx="23">
                  <c:v>0.020350048617863593</c:v>
                </c:pt>
                <c:pt idx="24">
                  <c:v>0.020475171548734596</c:v>
                </c:pt>
                <c:pt idx="25">
                  <c:v>0.01996326205247288</c:v>
                </c:pt>
                <c:pt idx="26">
                  <c:v>0.01936829558998808</c:v>
                </c:pt>
                <c:pt idx="27">
                  <c:v>0.01891026698788819</c:v>
                </c:pt>
                <c:pt idx="28">
                  <c:v>0.019158540367320218</c:v>
                </c:pt>
                <c:pt idx="29">
                  <c:v>0.018560647094933738</c:v>
                </c:pt>
                <c:pt idx="30">
                  <c:v>0.017971233437195103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Req3!$B$142</c:f>
              <c:strCache>
                <c:ptCount val="1"/>
                <c:pt idx="0">
                  <c:v>Fluvastatine 80mg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Req3!$C$142:$AG$142</c:f>
              <c:numCache>
                <c:ptCount val="31"/>
                <c:pt idx="0">
                  <c:v>0.026258116883116883</c:v>
                </c:pt>
                <c:pt idx="1">
                  <c:v>0.025960890087660147</c:v>
                </c:pt>
                <c:pt idx="2">
                  <c:v>0.026524132942169352</c:v>
                </c:pt>
                <c:pt idx="3">
                  <c:v>0.027388797364085667</c:v>
                </c:pt>
                <c:pt idx="4">
                  <c:v>0.027481271591041415</c:v>
                </c:pt>
                <c:pt idx="5">
                  <c:v>0.02784732118784424</c:v>
                </c:pt>
                <c:pt idx="6">
                  <c:v>0.028679915979964454</c:v>
                </c:pt>
                <c:pt idx="7">
                  <c:v>0.028883473237656828</c:v>
                </c:pt>
                <c:pt idx="8">
                  <c:v>0.030176446999064296</c:v>
                </c:pt>
                <c:pt idx="9">
                  <c:v>0.028825691623137938</c:v>
                </c:pt>
                <c:pt idx="10">
                  <c:v>0.028581844695588773</c:v>
                </c:pt>
                <c:pt idx="11">
                  <c:v>0.028951399006313272</c:v>
                </c:pt>
                <c:pt idx="12">
                  <c:v>0.0283178360101437</c:v>
                </c:pt>
                <c:pt idx="13">
                  <c:v>0.02819997019818209</c:v>
                </c:pt>
                <c:pt idx="14">
                  <c:v>0.02866169305724726</c:v>
                </c:pt>
                <c:pt idx="15">
                  <c:v>0.02953714981729598</c:v>
                </c:pt>
                <c:pt idx="16">
                  <c:v>0.027544557372219766</c:v>
                </c:pt>
                <c:pt idx="17">
                  <c:v>0.029175914655974796</c:v>
                </c:pt>
                <c:pt idx="18">
                  <c:v>0.02869332125193491</c:v>
                </c:pt>
                <c:pt idx="19">
                  <c:v>0.02829249617151608</c:v>
                </c:pt>
                <c:pt idx="20">
                  <c:v>0.027872406317745433</c:v>
                </c:pt>
                <c:pt idx="21">
                  <c:v>0.02910310927320251</c:v>
                </c:pt>
                <c:pt idx="22">
                  <c:v>0.028497146908869907</c:v>
                </c:pt>
                <c:pt idx="23">
                  <c:v>0.027538547020419503</c:v>
                </c:pt>
                <c:pt idx="24">
                  <c:v>0.02704198332472515</c:v>
                </c:pt>
                <c:pt idx="25">
                  <c:v>0.025889855474300765</c:v>
                </c:pt>
                <c:pt idx="26">
                  <c:v>0.02745083432657926</c:v>
                </c:pt>
                <c:pt idx="27">
                  <c:v>0.026236757862776808</c:v>
                </c:pt>
                <c:pt idx="28">
                  <c:v>0.02711829364942628</c:v>
                </c:pt>
                <c:pt idx="29">
                  <c:v>0.0261076806413173</c:v>
                </c:pt>
                <c:pt idx="30">
                  <c:v>0.02511566424322538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Req3!$B$143</c:f>
              <c:strCache>
                <c:ptCount val="1"/>
                <c:pt idx="0">
                  <c:v>TAHOR 10mg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Req3!$C$143:$AG$143</c:f>
              <c:numCache>
                <c:ptCount val="31"/>
                <c:pt idx="0">
                  <c:v>0.1429383116883117</c:v>
                </c:pt>
                <c:pt idx="1">
                  <c:v>0.14459710047201618</c:v>
                </c:pt>
                <c:pt idx="2">
                  <c:v>0.1446770887754692</c:v>
                </c:pt>
                <c:pt idx="3">
                  <c:v>0.14744645799011533</c:v>
                </c:pt>
                <c:pt idx="4">
                  <c:v>0.14753716570275202</c:v>
                </c:pt>
                <c:pt idx="5">
                  <c:v>0.1486731117359319</c:v>
                </c:pt>
                <c:pt idx="6">
                  <c:v>0.15325577637744386</c:v>
                </c:pt>
                <c:pt idx="7">
                  <c:v>0.15118693022835997</c:v>
                </c:pt>
                <c:pt idx="8">
                  <c:v>0.15305440449137817</c:v>
                </c:pt>
                <c:pt idx="9">
                  <c:v>0.15372412458889534</c:v>
                </c:pt>
                <c:pt idx="10">
                  <c:v>0.15195041924899744</c:v>
                </c:pt>
                <c:pt idx="11">
                  <c:v>0.15413351264522396</c:v>
                </c:pt>
                <c:pt idx="12">
                  <c:v>0.1561131176515792</c:v>
                </c:pt>
                <c:pt idx="13">
                  <c:v>0.1516167486216659</c:v>
                </c:pt>
                <c:pt idx="14">
                  <c:v>0.15602161997563946</c:v>
                </c:pt>
                <c:pt idx="15">
                  <c:v>0.1540423264311815</c:v>
                </c:pt>
                <c:pt idx="16">
                  <c:v>0.16014877006922965</c:v>
                </c:pt>
                <c:pt idx="17">
                  <c:v>0.1601632419274003</c:v>
                </c:pt>
                <c:pt idx="18">
                  <c:v>0.16064484464076717</c:v>
                </c:pt>
                <c:pt idx="19">
                  <c:v>0.16129402756508424</c:v>
                </c:pt>
                <c:pt idx="20">
                  <c:v>0.15880389525480884</c:v>
                </c:pt>
                <c:pt idx="21">
                  <c:v>0.1586236492022003</c:v>
                </c:pt>
                <c:pt idx="22">
                  <c:v>0.15926663740419353</c:v>
                </c:pt>
                <c:pt idx="23">
                  <c:v>0.1601958605361856</c:v>
                </c:pt>
                <c:pt idx="24">
                  <c:v>0.1568287464030104</c:v>
                </c:pt>
                <c:pt idx="25">
                  <c:v>0.15894361071639</c:v>
                </c:pt>
                <c:pt idx="26">
                  <c:v>0.15919249106078665</c:v>
                </c:pt>
                <c:pt idx="27">
                  <c:v>0.15689251179829047</c:v>
                </c:pt>
                <c:pt idx="28">
                  <c:v>0.15623169429034148</c:v>
                </c:pt>
                <c:pt idx="29">
                  <c:v>0.15953490051637598</c:v>
                </c:pt>
                <c:pt idx="30">
                  <c:v>0.15793283605577063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Req3!$B$144</c:f>
              <c:strCache>
                <c:ptCount val="1"/>
                <c:pt idx="0">
                  <c:v>TAHOR 20mg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Req3!$C$144:$AG$144</c:f>
              <c:numCache>
                <c:ptCount val="31"/>
                <c:pt idx="0">
                  <c:v>0.05073051948051948</c:v>
                </c:pt>
                <c:pt idx="1">
                  <c:v>0.04998314227916386</c:v>
                </c:pt>
                <c:pt idx="2">
                  <c:v>0.051360366515291564</c:v>
                </c:pt>
                <c:pt idx="3">
                  <c:v>0.05111202635914333</c:v>
                </c:pt>
                <c:pt idx="4">
                  <c:v>0.051236269068043315</c:v>
                </c:pt>
                <c:pt idx="5">
                  <c:v>0.051111196703000426</c:v>
                </c:pt>
                <c:pt idx="6">
                  <c:v>0.050412021328162866</c:v>
                </c:pt>
                <c:pt idx="7">
                  <c:v>0.053389295062731296</c:v>
                </c:pt>
                <c:pt idx="8">
                  <c:v>0.0542708194091699</c:v>
                </c:pt>
                <c:pt idx="9">
                  <c:v>0.0555233120526214</c:v>
                </c:pt>
                <c:pt idx="10">
                  <c:v>0.05421071819176085</c:v>
                </c:pt>
                <c:pt idx="11">
                  <c:v>0.0534947140348911</c:v>
                </c:pt>
                <c:pt idx="12">
                  <c:v>0.05221701375547529</c:v>
                </c:pt>
                <c:pt idx="13">
                  <c:v>0.053904038146326924</c:v>
                </c:pt>
                <c:pt idx="14">
                  <c:v>0.05214677222898904</c:v>
                </c:pt>
                <c:pt idx="15">
                  <c:v>0.05290803897685749</c:v>
                </c:pt>
                <c:pt idx="16">
                  <c:v>0.05391073795846222</c:v>
                </c:pt>
                <c:pt idx="17">
                  <c:v>0.054843559819574714</c:v>
                </c:pt>
                <c:pt idx="18">
                  <c:v>0.05372446860724129</c:v>
                </c:pt>
                <c:pt idx="19">
                  <c:v>0.0531010719754977</c:v>
                </c:pt>
                <c:pt idx="20">
                  <c:v>0.05405870410515812</c:v>
                </c:pt>
                <c:pt idx="21">
                  <c:v>0.05227636250146296</c:v>
                </c:pt>
                <c:pt idx="22">
                  <c:v>0.054023027315393185</c:v>
                </c:pt>
                <c:pt idx="23">
                  <c:v>0.052125295179886094</c:v>
                </c:pt>
                <c:pt idx="24">
                  <c:v>0.05312476942374382</c:v>
                </c:pt>
                <c:pt idx="25">
                  <c:v>0.05261151353412123</c:v>
                </c:pt>
                <c:pt idx="26">
                  <c:v>0.05177294398092968</c:v>
                </c:pt>
                <c:pt idx="27">
                  <c:v>0.05250651793670176</c:v>
                </c:pt>
                <c:pt idx="28">
                  <c:v>0.053202853106371246</c:v>
                </c:pt>
                <c:pt idx="29">
                  <c:v>0.05102372440688983</c:v>
                </c:pt>
                <c:pt idx="30">
                  <c:v>0.05183646492304787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Req3!$B$145</c:f>
              <c:strCache>
                <c:ptCount val="1"/>
                <c:pt idx="0">
                  <c:v>TAHOR 40mg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Req3!$C$145:$AG$145</c:f>
              <c:numCache>
                <c:ptCount val="31"/>
                <c:pt idx="0">
                  <c:v>0.03896103896103896</c:v>
                </c:pt>
                <c:pt idx="1">
                  <c:v>0.03898347943358058</c:v>
                </c:pt>
                <c:pt idx="2">
                  <c:v>0.039223566290238314</c:v>
                </c:pt>
                <c:pt idx="3">
                  <c:v>0.03867380560131796</c:v>
                </c:pt>
                <c:pt idx="4">
                  <c:v>0.038892986065287426</c:v>
                </c:pt>
                <c:pt idx="5">
                  <c:v>0.03878596464199052</c:v>
                </c:pt>
                <c:pt idx="6">
                  <c:v>0.03914202617547261</c:v>
                </c:pt>
                <c:pt idx="7">
                  <c:v>0.03705208051268165</c:v>
                </c:pt>
                <c:pt idx="8">
                  <c:v>0.03953348482823152</c:v>
                </c:pt>
                <c:pt idx="9">
                  <c:v>0.03842135809634359</c:v>
                </c:pt>
                <c:pt idx="10">
                  <c:v>0.04006562158220926</c:v>
                </c:pt>
                <c:pt idx="11">
                  <c:v>0.03892562292203668</c:v>
                </c:pt>
                <c:pt idx="12">
                  <c:v>0.038461538461538464</c:v>
                </c:pt>
                <c:pt idx="13">
                  <c:v>0.041052004172254505</c:v>
                </c:pt>
                <c:pt idx="14">
                  <c:v>0.0389768574908648</c:v>
                </c:pt>
                <c:pt idx="15">
                  <c:v>0.0381394640682095</c:v>
                </c:pt>
                <c:pt idx="16">
                  <c:v>0.038555015466195316</c:v>
                </c:pt>
                <c:pt idx="17">
                  <c:v>0.0390205484355982</c:v>
                </c:pt>
                <c:pt idx="18">
                  <c:v>0.039830860422093856</c:v>
                </c:pt>
                <c:pt idx="19">
                  <c:v>0.039892802450229706</c:v>
                </c:pt>
                <c:pt idx="20">
                  <c:v>0.03974398678641478</c:v>
                </c:pt>
                <c:pt idx="21">
                  <c:v>0.04053368704404479</c:v>
                </c:pt>
                <c:pt idx="22">
                  <c:v>0.040348448526184286</c:v>
                </c:pt>
                <c:pt idx="23">
                  <c:v>0.03990137519099875</c:v>
                </c:pt>
                <c:pt idx="24">
                  <c:v>0.04157751051427728</c:v>
                </c:pt>
                <c:pt idx="25">
                  <c:v>0.040134474751325686</c:v>
                </c:pt>
                <c:pt idx="26">
                  <c:v>0.04071066746126341</c:v>
                </c:pt>
                <c:pt idx="27">
                  <c:v>0.039800666644665195</c:v>
                </c:pt>
                <c:pt idx="28">
                  <c:v>0.039798766410530304</c:v>
                </c:pt>
                <c:pt idx="29">
                  <c:v>0.04022677210847506</c:v>
                </c:pt>
                <c:pt idx="30">
                  <c:v>0.04025430396877852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Req3!$B$146</c:f>
              <c:strCache>
                <c:ptCount val="1"/>
                <c:pt idx="0">
                  <c:v>TAHOR 80mg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Req3!$C$146:$AG$146</c:f>
              <c:numCache>
                <c:ptCount val="31"/>
                <c:pt idx="0">
                  <c:v>0.0022727272727272726</c:v>
                </c:pt>
                <c:pt idx="1">
                  <c:v>0.0016014834794335806</c:v>
                </c:pt>
                <c:pt idx="2">
                  <c:v>0.0023309086524936702</c:v>
                </c:pt>
                <c:pt idx="3">
                  <c:v>0.0026359143327841844</c:v>
                </c:pt>
                <c:pt idx="4">
                  <c:v>0.002561813453402166</c:v>
                </c:pt>
                <c:pt idx="5">
                  <c:v>0.0030813080152524747</c:v>
                </c:pt>
                <c:pt idx="6">
                  <c:v>0.002746808854419131</c:v>
                </c:pt>
                <c:pt idx="7">
                  <c:v>0.002798086469898005</c:v>
                </c:pt>
                <c:pt idx="8">
                  <c:v>0.0034754711936906832</c:v>
                </c:pt>
                <c:pt idx="9">
                  <c:v>0.0033275295028051847</c:v>
                </c:pt>
                <c:pt idx="10">
                  <c:v>0.002989427633977397</c:v>
                </c:pt>
                <c:pt idx="11">
                  <c:v>0.0034368112368784788</c:v>
                </c:pt>
                <c:pt idx="12">
                  <c:v>0.003458080381157304</c:v>
                </c:pt>
                <c:pt idx="13">
                  <c:v>0.0035017136045298763</c:v>
                </c:pt>
                <c:pt idx="14">
                  <c:v>0.00373020706455542</c:v>
                </c:pt>
                <c:pt idx="15">
                  <c:v>0.0038063337393422656</c:v>
                </c:pt>
                <c:pt idx="16">
                  <c:v>0.0037929002798644867</c:v>
                </c:pt>
                <c:pt idx="17">
                  <c:v>0.004081048185007517</c:v>
                </c:pt>
                <c:pt idx="18">
                  <c:v>0.004039717597311889</c:v>
                </c:pt>
                <c:pt idx="19">
                  <c:v>0.004211332312404288</c:v>
                </c:pt>
                <c:pt idx="20">
                  <c:v>0.004026014245896562</c:v>
                </c:pt>
                <c:pt idx="21">
                  <c:v>0.004369367612062576</c:v>
                </c:pt>
                <c:pt idx="22">
                  <c:v>0.004625721713880542</c:v>
                </c:pt>
                <c:pt idx="23">
                  <c:v>0.004410334768717878</c:v>
                </c:pt>
                <c:pt idx="24">
                  <c:v>0.00523869254039696</c:v>
                </c:pt>
                <c:pt idx="25">
                  <c:v>0.004817523307801615</c:v>
                </c:pt>
                <c:pt idx="26">
                  <c:v>0.005289034564958284</c:v>
                </c:pt>
                <c:pt idx="27">
                  <c:v>0.0049173294610738915</c:v>
                </c:pt>
                <c:pt idx="28">
                  <c:v>0.005754453671479274</c:v>
                </c:pt>
                <c:pt idx="29">
                  <c:v>0.005849853753656159</c:v>
                </c:pt>
                <c:pt idx="30">
                  <c:v>0.006389072482925755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Req3!$B$147</c:f>
              <c:strCache>
                <c:ptCount val="1"/>
                <c:pt idx="0">
                  <c:v>CRESTOR 5mg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Req3!$C$147:$AG$147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0.006967840735068912</c:v>
                </c:pt>
                <c:pt idx="20">
                  <c:v>0.01531261828567496</c:v>
                </c:pt>
                <c:pt idx="21">
                  <c:v>0.02196387469277884</c:v>
                </c:pt>
                <c:pt idx="22">
                  <c:v>0.026606340952831143</c:v>
                </c:pt>
                <c:pt idx="23">
                  <c:v>0.03274760383386582</c:v>
                </c:pt>
                <c:pt idx="24">
                  <c:v>0.03774072161145134</c:v>
                </c:pt>
                <c:pt idx="25">
                  <c:v>0.03857484490347624</c:v>
                </c:pt>
                <c:pt idx="26">
                  <c:v>0.044658820023837906</c:v>
                </c:pt>
                <c:pt idx="27">
                  <c:v>0.04947031451107224</c:v>
                </c:pt>
                <c:pt idx="28">
                  <c:v>0.05433996071810068</c:v>
                </c:pt>
                <c:pt idx="29">
                  <c:v>0.05961795399559455</c:v>
                </c:pt>
                <c:pt idx="30">
                  <c:v>0.0615617033330186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Req3!$B$148</c:f>
              <c:strCache>
                <c:ptCount val="1"/>
                <c:pt idx="0">
                  <c:v>CRESTOR 10mg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Req3!$C$148:$AG$148</c:f>
              <c:numCache>
                <c:ptCount val="31"/>
                <c:pt idx="0">
                  <c:v>0.025</c:v>
                </c:pt>
                <c:pt idx="1">
                  <c:v>0.025960890087660147</c:v>
                </c:pt>
                <c:pt idx="2">
                  <c:v>0.027488646867339147</c:v>
                </c:pt>
                <c:pt idx="3">
                  <c:v>0.030930807248764416</c:v>
                </c:pt>
                <c:pt idx="4">
                  <c:v>0.034506850910220085</c:v>
                </c:pt>
                <c:pt idx="5">
                  <c:v>0.03551207487578477</c:v>
                </c:pt>
                <c:pt idx="6">
                  <c:v>0.037445467765390206</c:v>
                </c:pt>
                <c:pt idx="7">
                  <c:v>0.03736799350121852</c:v>
                </c:pt>
                <c:pt idx="8">
                  <c:v>0.03926614089025531</c:v>
                </c:pt>
                <c:pt idx="9">
                  <c:v>0.040549429289998065</c:v>
                </c:pt>
                <c:pt idx="10">
                  <c:v>0.041487422530076555</c:v>
                </c:pt>
                <c:pt idx="11">
                  <c:v>0.042437147446673394</c:v>
                </c:pt>
                <c:pt idx="12">
                  <c:v>0.04314915853377392</c:v>
                </c:pt>
                <c:pt idx="13">
                  <c:v>0.04328714051557145</c:v>
                </c:pt>
                <c:pt idx="14">
                  <c:v>0.043696711327649206</c:v>
                </c:pt>
                <c:pt idx="15">
                  <c:v>0.04403928136419001</c:v>
                </c:pt>
                <c:pt idx="16">
                  <c:v>0.04698777434084549</c:v>
                </c:pt>
                <c:pt idx="17">
                  <c:v>0.04822080618600988</c:v>
                </c:pt>
                <c:pt idx="18">
                  <c:v>0.04938271604938271</c:v>
                </c:pt>
                <c:pt idx="19">
                  <c:v>0.048889739663093415</c:v>
                </c:pt>
                <c:pt idx="20">
                  <c:v>0.04862186435428925</c:v>
                </c:pt>
                <c:pt idx="21">
                  <c:v>0.04673662856474076</c:v>
                </c:pt>
                <c:pt idx="22">
                  <c:v>0.04507546341628119</c:v>
                </c:pt>
                <c:pt idx="23">
                  <c:v>0.048027503819975</c:v>
                </c:pt>
                <c:pt idx="24">
                  <c:v>0.04943554932487272</c:v>
                </c:pt>
                <c:pt idx="25">
                  <c:v>0.048279208401206114</c:v>
                </c:pt>
                <c:pt idx="26">
                  <c:v>0.048569725864123954</c:v>
                </c:pt>
                <c:pt idx="27">
                  <c:v>0.04989934325599815</c:v>
                </c:pt>
                <c:pt idx="28">
                  <c:v>0.04796526653113263</c:v>
                </c:pt>
                <c:pt idx="29">
                  <c:v>0.04831545878019716</c:v>
                </c:pt>
                <c:pt idx="30">
                  <c:v>0.04862619204985365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Req3!$B$149</c:f>
              <c:strCache>
                <c:ptCount val="1"/>
                <c:pt idx="0">
                  <c:v>CRESTOR 20mg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Req3!$C$149:$AG$149</c:f>
              <c:numCache>
                <c:ptCount val="31"/>
                <c:pt idx="0">
                  <c:v>0.0024756493506493506</c:v>
                </c:pt>
                <c:pt idx="1">
                  <c:v>0.002191503708698584</c:v>
                </c:pt>
                <c:pt idx="2">
                  <c:v>0.0024514728931398946</c:v>
                </c:pt>
                <c:pt idx="3">
                  <c:v>0.0026359143327841844</c:v>
                </c:pt>
                <c:pt idx="4">
                  <c:v>0.003027597717657105</c:v>
                </c:pt>
                <c:pt idx="5">
                  <c:v>0.003004275314871163</c:v>
                </c:pt>
                <c:pt idx="6">
                  <c:v>0.0031103570851510744</c:v>
                </c:pt>
                <c:pt idx="7">
                  <c:v>0.0036104341547071035</c:v>
                </c:pt>
                <c:pt idx="8">
                  <c:v>0.0035088891859377087</c:v>
                </c:pt>
                <c:pt idx="9">
                  <c:v>0.0032888372992841944</c:v>
                </c:pt>
                <c:pt idx="10">
                  <c:v>0.004484141450966096</c:v>
                </c:pt>
                <c:pt idx="11">
                  <c:v>0.003997160895065187</c:v>
                </c:pt>
                <c:pt idx="12">
                  <c:v>0.003880734649965419</c:v>
                </c:pt>
                <c:pt idx="13">
                  <c:v>0.004805543138131426</c:v>
                </c:pt>
                <c:pt idx="14">
                  <c:v>0.00445341047503045</c:v>
                </c:pt>
                <c:pt idx="15">
                  <c:v>0.00430115712545676</c:v>
                </c:pt>
                <c:pt idx="16">
                  <c:v>0.0038665488289880688</c:v>
                </c:pt>
                <c:pt idx="17">
                  <c:v>0.004653826877640152</c:v>
                </c:pt>
                <c:pt idx="18">
                  <c:v>0.004681541888473591</c:v>
                </c:pt>
                <c:pt idx="19">
                  <c:v>0.00501531393568147</c:v>
                </c:pt>
                <c:pt idx="20">
                  <c:v>0.005092735969168301</c:v>
                </c:pt>
                <c:pt idx="21">
                  <c:v>0.005539733936722194</c:v>
                </c:pt>
                <c:pt idx="22">
                  <c:v>0.0055035959077556805</c:v>
                </c:pt>
                <c:pt idx="23">
                  <c:v>0.005973051812751771</c:v>
                </c:pt>
                <c:pt idx="24">
                  <c:v>0.005792075555227625</c:v>
                </c:pt>
                <c:pt idx="25">
                  <c:v>0.005753301216511282</c:v>
                </c:pt>
                <c:pt idx="26">
                  <c:v>0.006071215733015494</c:v>
                </c:pt>
                <c:pt idx="27">
                  <c:v>0.005874393584370152</c:v>
                </c:pt>
                <c:pt idx="28">
                  <c:v>0.006443609799800145</c:v>
                </c:pt>
                <c:pt idx="29">
                  <c:v>0.006174845628859279</c:v>
                </c:pt>
                <c:pt idx="30">
                  <c:v>0.006672331854089951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Req3!$B$150</c:f>
              <c:strCache>
                <c:ptCount val="1"/>
                <c:pt idx="0">
                  <c:v>EZETROL 10mg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Req3!$C$150:$AG$150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0.0017369526579415092</c:v>
                </c:pt>
                <c:pt idx="7">
                  <c:v>0.006453651051538948</c:v>
                </c:pt>
                <c:pt idx="8">
                  <c:v>0.011963641224435237</c:v>
                </c:pt>
                <c:pt idx="9">
                  <c:v>0.01772102921261366</c:v>
                </c:pt>
                <c:pt idx="10">
                  <c:v>0.02121764491432738</c:v>
                </c:pt>
                <c:pt idx="11">
                  <c:v>0.02327318913668796</c:v>
                </c:pt>
                <c:pt idx="12">
                  <c:v>0.02405287020671636</c:v>
                </c:pt>
                <c:pt idx="13">
                  <c:v>0.025890329310087914</c:v>
                </c:pt>
                <c:pt idx="14">
                  <c:v>0.027481729598051157</c:v>
                </c:pt>
                <c:pt idx="15">
                  <c:v>0.028737819732034105</c:v>
                </c:pt>
                <c:pt idx="16">
                  <c:v>0.029717189571365443</c:v>
                </c:pt>
                <c:pt idx="17">
                  <c:v>0.03232619746545429</c:v>
                </c:pt>
                <c:pt idx="18">
                  <c:v>0.03352588062068185</c:v>
                </c:pt>
                <c:pt idx="19">
                  <c:v>0.032695252679938745</c:v>
                </c:pt>
                <c:pt idx="20">
                  <c:v>0.033206014934104126</c:v>
                </c:pt>
                <c:pt idx="21">
                  <c:v>0.03456481878828073</c:v>
                </c:pt>
                <c:pt idx="22">
                  <c:v>0.03315663301482257</c:v>
                </c:pt>
                <c:pt idx="23">
                  <c:v>0.03299069315182664</c:v>
                </c:pt>
                <c:pt idx="24">
                  <c:v>0.03216999926215598</c:v>
                </c:pt>
                <c:pt idx="25">
                  <c:v>0.033410737185041416</c:v>
                </c:pt>
                <c:pt idx="26">
                  <c:v>0.03352205005959476</c:v>
                </c:pt>
                <c:pt idx="27">
                  <c:v>0.034817332761295006</c:v>
                </c:pt>
                <c:pt idx="28">
                  <c:v>0.03542262499569277</c:v>
                </c:pt>
                <c:pt idx="29">
                  <c:v>0.03535189398042827</c:v>
                </c:pt>
                <c:pt idx="30">
                  <c:v>0.036288672772479776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Req3!$B$151</c:f>
              <c:strCache>
                <c:ptCount val="1"/>
                <c:pt idx="0">
                  <c:v>INEGY 10/20mg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Req3!$C$151:$AG$151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0.0004530524408200249</c:v>
                </c:pt>
                <c:pt idx="19">
                  <c:v>0.002029096477794793</c:v>
                </c:pt>
                <c:pt idx="20">
                  <c:v>0.003441037817005609</c:v>
                </c:pt>
                <c:pt idx="21">
                  <c:v>0.004603440876994499</c:v>
                </c:pt>
                <c:pt idx="22">
                  <c:v>0.0051659519870344735</c:v>
                </c:pt>
                <c:pt idx="23">
                  <c:v>0.006598138630365328</c:v>
                </c:pt>
                <c:pt idx="24">
                  <c:v>0.006935733785877665</c:v>
                </c:pt>
                <c:pt idx="25">
                  <c:v>0.007902124562437182</c:v>
                </c:pt>
                <c:pt idx="26">
                  <c:v>0.008455005959475567</c:v>
                </c:pt>
                <c:pt idx="27">
                  <c:v>0.009900663344444078</c:v>
                </c:pt>
                <c:pt idx="28">
                  <c:v>0.010957582440301851</c:v>
                </c:pt>
                <c:pt idx="29">
                  <c:v>0.011808038132380023</c:v>
                </c:pt>
                <c:pt idx="30">
                  <c:v>0.012998457810090328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Req3!$B$152</c:f>
              <c:strCache>
                <c:ptCount val="1"/>
                <c:pt idx="0">
                  <c:v>INEGY 10/40mg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Req3!$C$152:$AG$152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7.550874013667082E-05</c:v>
                </c:pt>
                <c:pt idx="19">
                  <c:v>0.0011485451761102604</c:v>
                </c:pt>
                <c:pt idx="20">
                  <c:v>0.0015828773958225801</c:v>
                </c:pt>
                <c:pt idx="21">
                  <c:v>0.0023797448601412243</c:v>
                </c:pt>
                <c:pt idx="22">
                  <c:v>0.0026673869736975387</c:v>
                </c:pt>
                <c:pt idx="23">
                  <c:v>0.003507431587720517</c:v>
                </c:pt>
                <c:pt idx="24">
                  <c:v>0.0038736811038146534</c:v>
                </c:pt>
                <c:pt idx="25">
                  <c:v>0.004678889543548331</c:v>
                </c:pt>
                <c:pt idx="26">
                  <c:v>0.0048793206197854586</c:v>
                </c:pt>
                <c:pt idx="27">
                  <c:v>0.005511369261740537</c:v>
                </c:pt>
                <c:pt idx="28">
                  <c:v>0.006099031735639709</c:v>
                </c:pt>
                <c:pt idx="29">
                  <c:v>0.006499837504062398</c:v>
                </c:pt>
                <c:pt idx="30">
                  <c:v>0.007616529757970604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Req3!$B$153</c:f>
              <c:strCache>
                <c:ptCount val="1"/>
                <c:pt idx="0">
                  <c:v>LIPUR 450mg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Req3!$C$153:$AG$153</c:f>
              <c:numCache>
                <c:ptCount val="31"/>
                <c:pt idx="0">
                  <c:v>0.003287337662337662</c:v>
                </c:pt>
                <c:pt idx="1">
                  <c:v>0.003287255563047876</c:v>
                </c:pt>
                <c:pt idx="2">
                  <c:v>0.0030944821765864243</c:v>
                </c:pt>
                <c:pt idx="3">
                  <c:v>0.003130148270181219</c:v>
                </c:pt>
                <c:pt idx="4">
                  <c:v>0.0033381205604937313</c:v>
                </c:pt>
                <c:pt idx="5">
                  <c:v>0.00350498786734969</c:v>
                </c:pt>
                <c:pt idx="6">
                  <c:v>0.0033123283244465987</c:v>
                </c:pt>
                <c:pt idx="7">
                  <c:v>0.003113999458434877</c:v>
                </c:pt>
                <c:pt idx="8">
                  <c:v>0.0027402753642561156</c:v>
                </c:pt>
                <c:pt idx="9">
                  <c:v>0.0026310698394273555</c:v>
                </c:pt>
                <c:pt idx="10">
                  <c:v>0.002952971199416697</c:v>
                </c:pt>
                <c:pt idx="11">
                  <c:v>0.0027643916470544284</c:v>
                </c:pt>
                <c:pt idx="12">
                  <c:v>0.002574348728194882</c:v>
                </c:pt>
                <c:pt idx="13">
                  <c:v>0.0029801817910892563</c:v>
                </c:pt>
                <c:pt idx="14">
                  <c:v>0.0029308769792935445</c:v>
                </c:pt>
                <c:pt idx="15">
                  <c:v>0.0032353836784409255</c:v>
                </c:pt>
                <c:pt idx="16">
                  <c:v>0.002761820592134335</c:v>
                </c:pt>
                <c:pt idx="17">
                  <c:v>0.003078685472900408</c:v>
                </c:pt>
                <c:pt idx="18">
                  <c:v>0.002567297164646808</c:v>
                </c:pt>
                <c:pt idx="19">
                  <c:v>0.002871362940275651</c:v>
                </c:pt>
                <c:pt idx="20">
                  <c:v>0.002408726471903926</c:v>
                </c:pt>
                <c:pt idx="21">
                  <c:v>0.0023017204384972495</c:v>
                </c:pt>
                <c:pt idx="22">
                  <c:v>0.0027011513657696595</c:v>
                </c:pt>
                <c:pt idx="23">
                  <c:v>0.002291984997916377</c:v>
                </c:pt>
                <c:pt idx="24">
                  <c:v>0.002545561868221058</c:v>
                </c:pt>
                <c:pt idx="25">
                  <c:v>0.0021834817869892213</c:v>
                </c:pt>
                <c:pt idx="26">
                  <c:v>0.0023092967818831942</c:v>
                </c:pt>
                <c:pt idx="27">
                  <c:v>0.003036203425629517</c:v>
                </c:pt>
                <c:pt idx="28">
                  <c:v>0.0021708418042107437</c:v>
                </c:pt>
                <c:pt idx="29">
                  <c:v>0.002058281876286426</c:v>
                </c:pt>
                <c:pt idx="30">
                  <c:v>0.002517861077015076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Req3!$B$154</c:f>
              <c:strCache>
                <c:ptCount val="1"/>
                <c:pt idx="0">
                  <c:v>Fénofibrate 67mg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Req3!$C$154:$AG$154</c:f>
              <c:numCache>
                <c:ptCount val="31"/>
                <c:pt idx="0">
                  <c:v>0.013271103896103895</c:v>
                </c:pt>
                <c:pt idx="1">
                  <c:v>0.01078894133513149</c:v>
                </c:pt>
                <c:pt idx="2">
                  <c:v>0.011172286299883455</c:v>
                </c:pt>
                <c:pt idx="3">
                  <c:v>0.011079077429983526</c:v>
                </c:pt>
                <c:pt idx="4">
                  <c:v>0.010518961301090712</c:v>
                </c:pt>
                <c:pt idx="5">
                  <c:v>0.012055617609675308</c:v>
                </c:pt>
                <c:pt idx="6">
                  <c:v>0.010421715947649055</c:v>
                </c:pt>
                <c:pt idx="7">
                  <c:v>0.011688780575864248</c:v>
                </c:pt>
                <c:pt idx="8">
                  <c:v>0.010626921534554204</c:v>
                </c:pt>
                <c:pt idx="9">
                  <c:v>0.009324821048558715</c:v>
                </c:pt>
                <c:pt idx="10">
                  <c:v>0.01042654028436019</c:v>
                </c:pt>
                <c:pt idx="11">
                  <c:v>0.009899510627965184</c:v>
                </c:pt>
                <c:pt idx="12">
                  <c:v>0.010412664258818104</c:v>
                </c:pt>
                <c:pt idx="13">
                  <c:v>0.010169870362092088</c:v>
                </c:pt>
                <c:pt idx="14">
                  <c:v>0.009706151035322777</c:v>
                </c:pt>
                <c:pt idx="15">
                  <c:v>0.011228684531059683</c:v>
                </c:pt>
                <c:pt idx="16">
                  <c:v>0.009942554131683606</c:v>
                </c:pt>
                <c:pt idx="17">
                  <c:v>0.010131023125939715</c:v>
                </c:pt>
                <c:pt idx="18">
                  <c:v>0.009853890587835541</c:v>
                </c:pt>
                <c:pt idx="19">
                  <c:v>0.009264931087289433</c:v>
                </c:pt>
                <c:pt idx="20">
                  <c:v>0.009187570971404976</c:v>
                </c:pt>
                <c:pt idx="21">
                  <c:v>0.009870089337962783</c:v>
                </c:pt>
                <c:pt idx="22">
                  <c:v>0.00952155856433805</c:v>
                </c:pt>
                <c:pt idx="23">
                  <c:v>0.00878594249201278</c:v>
                </c:pt>
                <c:pt idx="24">
                  <c:v>0.008891020438279348</c:v>
                </c:pt>
                <c:pt idx="25">
                  <c:v>0.008422001178386996</c:v>
                </c:pt>
                <c:pt idx="26">
                  <c:v>0.009572407628128724</c:v>
                </c:pt>
                <c:pt idx="27">
                  <c:v>0.008250552787036732</c:v>
                </c:pt>
                <c:pt idx="28">
                  <c:v>0.00871782502325902</c:v>
                </c:pt>
                <c:pt idx="29">
                  <c:v>0.008558119380348825</c:v>
                </c:pt>
                <c:pt idx="30">
                  <c:v>0.00827746829068706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Req3!$B$155</c:f>
              <c:strCache>
                <c:ptCount val="1"/>
                <c:pt idx="0">
                  <c:v>Fénofibrate 100mg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Req3!$C$155:$AG$155</c:f>
              <c:numCache>
                <c:ptCount val="31"/>
                <c:pt idx="0">
                  <c:v>0.004626623376623376</c:v>
                </c:pt>
                <c:pt idx="1">
                  <c:v>0.005141604855023601</c:v>
                </c:pt>
                <c:pt idx="2">
                  <c:v>0.005023510026926014</c:v>
                </c:pt>
                <c:pt idx="3">
                  <c:v>0.004736408566721581</c:v>
                </c:pt>
                <c:pt idx="4">
                  <c:v>0.00492955013003144</c:v>
                </c:pt>
                <c:pt idx="5">
                  <c:v>0.004698994723260024</c:v>
                </c:pt>
                <c:pt idx="6">
                  <c:v>0.005089675230247213</c:v>
                </c:pt>
                <c:pt idx="7">
                  <c:v>0.004377651412582363</c:v>
                </c:pt>
                <c:pt idx="8">
                  <c:v>0.004945862852559818</c:v>
                </c:pt>
                <c:pt idx="9">
                  <c:v>0.004952602050686787</c:v>
                </c:pt>
                <c:pt idx="10">
                  <c:v>0.004958075100255195</c:v>
                </c:pt>
                <c:pt idx="11">
                  <c:v>0.005117860211438605</c:v>
                </c:pt>
                <c:pt idx="12">
                  <c:v>0.004649196956889264</c:v>
                </c:pt>
                <c:pt idx="13">
                  <c:v>0.005364327223960662</c:v>
                </c:pt>
                <c:pt idx="14">
                  <c:v>0.0051766138855054815</c:v>
                </c:pt>
                <c:pt idx="15">
                  <c:v>0.005519183922046285</c:v>
                </c:pt>
                <c:pt idx="16">
                  <c:v>0.005302695536897923</c:v>
                </c:pt>
                <c:pt idx="17">
                  <c:v>0.005262404238562325</c:v>
                </c:pt>
                <c:pt idx="18">
                  <c:v>0.005323366179635293</c:v>
                </c:pt>
                <c:pt idx="19">
                  <c:v>0.005474732006125574</c:v>
                </c:pt>
                <c:pt idx="20">
                  <c:v>0.005712122776229311</c:v>
                </c:pt>
                <c:pt idx="21">
                  <c:v>0.005500721725900206</c:v>
                </c:pt>
                <c:pt idx="22">
                  <c:v>0.0058412398284768885</c:v>
                </c:pt>
                <c:pt idx="23">
                  <c:v>0.005973051812751771</c:v>
                </c:pt>
                <c:pt idx="24">
                  <c:v>0.005828967756216336</c:v>
                </c:pt>
                <c:pt idx="25">
                  <c:v>0.005961251862891207</c:v>
                </c:pt>
                <c:pt idx="26">
                  <c:v>0.005512514898688915</c:v>
                </c:pt>
                <c:pt idx="27">
                  <c:v>0.005280353783703508</c:v>
                </c:pt>
                <c:pt idx="28">
                  <c:v>0.0058922848971434474</c:v>
                </c:pt>
                <c:pt idx="29">
                  <c:v>0.00538042104502943</c:v>
                </c:pt>
                <c:pt idx="30">
                  <c:v>0.005381928052119725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Req3!$B$156</c:f>
              <c:strCache>
                <c:ptCount val="1"/>
                <c:pt idx="0">
                  <c:v>Fénofibrate 140mg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Req3!$C$156:$AG$156</c:f>
              <c:numCache>
                <c:ptCount val="31"/>
                <c:pt idx="0">
                  <c:v>0.0017857142857142857</c:v>
                </c:pt>
                <c:pt idx="1">
                  <c:v>0.0016857720836142953</c:v>
                </c:pt>
                <c:pt idx="2">
                  <c:v>0.001406582807539284</c:v>
                </c:pt>
                <c:pt idx="3">
                  <c:v>0.001441515650741351</c:v>
                </c:pt>
                <c:pt idx="4">
                  <c:v>0.0015914295695377092</c:v>
                </c:pt>
                <c:pt idx="5">
                  <c:v>0.0014251049570542696</c:v>
                </c:pt>
                <c:pt idx="6">
                  <c:v>0.0015349814186459848</c:v>
                </c:pt>
                <c:pt idx="7">
                  <c:v>0.0013539128080151638</c:v>
                </c:pt>
                <c:pt idx="8">
                  <c:v>0.001303301697634006</c:v>
                </c:pt>
                <c:pt idx="9">
                  <c:v>0.0011994583091507062</c:v>
                </c:pt>
                <c:pt idx="10">
                  <c:v>0.0011301494713816989</c:v>
                </c:pt>
                <c:pt idx="11">
                  <c:v>0.0012327692480107587</c:v>
                </c:pt>
                <c:pt idx="12">
                  <c:v>0.0011142703450395758</c:v>
                </c:pt>
                <c:pt idx="13">
                  <c:v>0.001266577261212934</c:v>
                </c:pt>
                <c:pt idx="14">
                  <c:v>0.001218026796589525</c:v>
                </c:pt>
                <c:pt idx="15">
                  <c:v>0.0013322168087697929</c:v>
                </c:pt>
                <c:pt idx="16">
                  <c:v>0.0011783767859773163</c:v>
                </c:pt>
                <c:pt idx="17">
                  <c:v>0.0011813560535548077</c:v>
                </c:pt>
                <c:pt idx="18">
                  <c:v>0.0011703854721183977</c:v>
                </c:pt>
                <c:pt idx="19">
                  <c:v>0.000995405819295559</c:v>
                </c:pt>
                <c:pt idx="20">
                  <c:v>0.0010667217232717388</c:v>
                </c:pt>
                <c:pt idx="21">
                  <c:v>0.001092341903015644</c:v>
                </c:pt>
                <c:pt idx="22">
                  <c:v>0.001046696154235743</c:v>
                </c:pt>
                <c:pt idx="23">
                  <c:v>0.0008681761355743853</c:v>
                </c:pt>
                <c:pt idx="24">
                  <c:v>0.0008116284217516418</c:v>
                </c:pt>
                <c:pt idx="25">
                  <c:v>0.0006585103802030985</c:v>
                </c:pt>
                <c:pt idx="26">
                  <c:v>0.0008566746126340882</c:v>
                </c:pt>
                <c:pt idx="27">
                  <c:v>0.0009240619121481139</c:v>
                </c:pt>
                <c:pt idx="28">
                  <c:v>0.0007580717411529582</c:v>
                </c:pt>
                <c:pt idx="29">
                  <c:v>0.0006138735420503376</c:v>
                </c:pt>
                <c:pt idx="30">
                  <c:v>0.000629465269253769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Req3!$B$157</c:f>
              <c:strCache>
                <c:ptCount val="1"/>
                <c:pt idx="0">
                  <c:v>Fénofibrate 145mg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Req3!$C$157:$AG$157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0.0016172877739926363</c:v>
                </c:pt>
                <c:pt idx="21">
                  <c:v>0.009401942808098935</c:v>
                </c:pt>
                <c:pt idx="22">
                  <c:v>0.017456190701286425</c:v>
                </c:pt>
                <c:pt idx="23">
                  <c:v>0.022989304070009722</c:v>
                </c:pt>
                <c:pt idx="24">
                  <c:v>0.030436065815686565</c:v>
                </c:pt>
                <c:pt idx="25">
                  <c:v>0.030846012546355665</c:v>
                </c:pt>
                <c:pt idx="26">
                  <c:v>0.03363379022646007</c:v>
                </c:pt>
                <c:pt idx="27">
                  <c:v>0.036764463219035676</c:v>
                </c:pt>
                <c:pt idx="28">
                  <c:v>0.03838599634747252</c:v>
                </c:pt>
                <c:pt idx="29">
                  <c:v>0.03975733939984834</c:v>
                </c:pt>
                <c:pt idx="30">
                  <c:v>0.040631983130330784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Req3!$B$158</c:f>
              <c:strCache>
                <c:ptCount val="1"/>
                <c:pt idx="0">
                  <c:v>Fénofibrate 160mg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Req3!$C$158:$AG$158</c:f>
              <c:numCache>
                <c:ptCount val="31"/>
                <c:pt idx="0">
                  <c:v>0.09553571428571428</c:v>
                </c:pt>
                <c:pt idx="1">
                  <c:v>0.0965104517869184</c:v>
                </c:pt>
                <c:pt idx="2">
                  <c:v>0.09416067194470121</c:v>
                </c:pt>
                <c:pt idx="3">
                  <c:v>0.09365733113673806</c:v>
                </c:pt>
                <c:pt idx="4">
                  <c:v>0.09533051275084424</c:v>
                </c:pt>
                <c:pt idx="5">
                  <c:v>0.09717675153102492</c:v>
                </c:pt>
                <c:pt idx="6">
                  <c:v>0.09355307804168686</c:v>
                </c:pt>
                <c:pt idx="7">
                  <c:v>0.09414207058398773</c:v>
                </c:pt>
                <c:pt idx="8">
                  <c:v>0.09186606068707392</c:v>
                </c:pt>
                <c:pt idx="9">
                  <c:v>0.09119752369897466</c:v>
                </c:pt>
                <c:pt idx="10">
                  <c:v>0.08760481224936201</c:v>
                </c:pt>
                <c:pt idx="11">
                  <c:v>0.09073928798236766</c:v>
                </c:pt>
                <c:pt idx="12">
                  <c:v>0.09290709290709291</c:v>
                </c:pt>
                <c:pt idx="13">
                  <c:v>0.09134257189688572</c:v>
                </c:pt>
                <c:pt idx="14">
                  <c:v>0.09005785627283801</c:v>
                </c:pt>
                <c:pt idx="15">
                  <c:v>0.09112362971985384</c:v>
                </c:pt>
                <c:pt idx="16">
                  <c:v>0.09066136397112977</c:v>
                </c:pt>
                <c:pt idx="17">
                  <c:v>0.08838691200687335</c:v>
                </c:pt>
                <c:pt idx="18">
                  <c:v>0.08660852493676142</c:v>
                </c:pt>
                <c:pt idx="19">
                  <c:v>0.08671516079632466</c:v>
                </c:pt>
                <c:pt idx="20">
                  <c:v>0.08440865765114759</c:v>
                </c:pt>
                <c:pt idx="21">
                  <c:v>0.07802442164397456</c:v>
                </c:pt>
                <c:pt idx="22">
                  <c:v>0.07029746429415538</c:v>
                </c:pt>
                <c:pt idx="23">
                  <c:v>0.06375885539658285</c:v>
                </c:pt>
                <c:pt idx="24">
                  <c:v>0.06065077842544086</c:v>
                </c:pt>
                <c:pt idx="25">
                  <c:v>0.058087547222125946</c:v>
                </c:pt>
                <c:pt idx="26">
                  <c:v>0.05445470798569726</c:v>
                </c:pt>
                <c:pt idx="27">
                  <c:v>0.052869542259331374</c:v>
                </c:pt>
                <c:pt idx="28">
                  <c:v>0.05030839736742359</c:v>
                </c:pt>
                <c:pt idx="29">
                  <c:v>0.04762936482143502</c:v>
                </c:pt>
                <c:pt idx="30">
                  <c:v>0.04777641393636106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Req3!$B$159</c:f>
              <c:strCache>
                <c:ptCount val="1"/>
                <c:pt idx="0">
                  <c:v>Fénofibrate 200mg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Req3!$C$159:$AG$159</c:f>
              <c:numCache>
                <c:ptCount val="31"/>
                <c:pt idx="0">
                  <c:v>0.08835227272727272</c:v>
                </c:pt>
                <c:pt idx="1">
                  <c:v>0.08744942683749157</c:v>
                </c:pt>
                <c:pt idx="2">
                  <c:v>0.0867660651850661</c:v>
                </c:pt>
                <c:pt idx="3">
                  <c:v>0.08500823723228995</c:v>
                </c:pt>
                <c:pt idx="4">
                  <c:v>0.08240499941776967</c:v>
                </c:pt>
                <c:pt idx="5">
                  <c:v>0.08099988445094942</c:v>
                </c:pt>
                <c:pt idx="6">
                  <c:v>0.08026337049604136</c:v>
                </c:pt>
                <c:pt idx="7">
                  <c:v>0.07924902969582093</c:v>
                </c:pt>
                <c:pt idx="8">
                  <c:v>0.07866595374949872</c:v>
                </c:pt>
                <c:pt idx="9">
                  <c:v>0.07761656026310698</c:v>
                </c:pt>
                <c:pt idx="10">
                  <c:v>0.07808968282901932</c:v>
                </c:pt>
                <c:pt idx="11">
                  <c:v>0.07770181926855692</c:v>
                </c:pt>
                <c:pt idx="12">
                  <c:v>0.0769999231537693</c:v>
                </c:pt>
                <c:pt idx="13">
                  <c:v>0.07599463567277603</c:v>
                </c:pt>
                <c:pt idx="14">
                  <c:v>0.07772533495736907</c:v>
                </c:pt>
                <c:pt idx="15">
                  <c:v>0.07806790499390986</c:v>
                </c:pt>
                <c:pt idx="16">
                  <c:v>0.0764471939902784</c:v>
                </c:pt>
                <c:pt idx="17">
                  <c:v>0.0783274862175127</c:v>
                </c:pt>
                <c:pt idx="18">
                  <c:v>0.07758523049042927</c:v>
                </c:pt>
                <c:pt idx="19">
                  <c:v>0.07488514548238898</c:v>
                </c:pt>
                <c:pt idx="20">
                  <c:v>0.07470493100719176</c:v>
                </c:pt>
                <c:pt idx="21">
                  <c:v>0.07158740685834666</c:v>
                </c:pt>
                <c:pt idx="22">
                  <c:v>0.07029746429415538</c:v>
                </c:pt>
                <c:pt idx="23">
                  <c:v>0.06782191971107099</c:v>
                </c:pt>
                <c:pt idx="24">
                  <c:v>0.06463513613222165</c:v>
                </c:pt>
                <c:pt idx="25">
                  <c:v>0.06515786919904343</c:v>
                </c:pt>
                <c:pt idx="26">
                  <c:v>0.06305870083432658</c:v>
                </c:pt>
                <c:pt idx="27">
                  <c:v>0.061549123791294014</c:v>
                </c:pt>
                <c:pt idx="28">
                  <c:v>0.05926742703559491</c:v>
                </c:pt>
                <c:pt idx="29">
                  <c:v>0.05741523128588452</c:v>
                </c:pt>
                <c:pt idx="30">
                  <c:v>0.055172630850092844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Req3!$B$160</c:f>
              <c:strCache>
                <c:ptCount val="1"/>
                <c:pt idx="0">
                  <c:v>Fénofibrate 300mg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Req3!$C$160:$AG$160</c:f>
              <c:numCache>
                <c:ptCount val="31"/>
                <c:pt idx="0">
                  <c:v>0.02207792207792208</c:v>
                </c:pt>
                <c:pt idx="1">
                  <c:v>0.022378624409979772</c:v>
                </c:pt>
                <c:pt idx="2">
                  <c:v>0.021781939476751194</c:v>
                </c:pt>
                <c:pt idx="3">
                  <c:v>0.022158154859967052</c:v>
                </c:pt>
                <c:pt idx="4">
                  <c:v>0.021270814734308894</c:v>
                </c:pt>
                <c:pt idx="5">
                  <c:v>0.021029927204098138</c:v>
                </c:pt>
                <c:pt idx="6">
                  <c:v>0.019914364194538698</c:v>
                </c:pt>
                <c:pt idx="7">
                  <c:v>0.020579474681830492</c:v>
                </c:pt>
                <c:pt idx="8">
                  <c:v>0.01971661542574522</c:v>
                </c:pt>
                <c:pt idx="9">
                  <c:v>0.020003869220352098</c:v>
                </c:pt>
                <c:pt idx="10">
                  <c:v>0.01924899744804958</c:v>
                </c:pt>
                <c:pt idx="11">
                  <c:v>0.01879039187119429</c:v>
                </c:pt>
                <c:pt idx="12">
                  <c:v>0.01848151848151848</c:v>
                </c:pt>
                <c:pt idx="13">
                  <c:v>0.018551631649530623</c:v>
                </c:pt>
                <c:pt idx="14">
                  <c:v>0.019145858708891596</c:v>
                </c:pt>
                <c:pt idx="15">
                  <c:v>0.019869062119366628</c:v>
                </c:pt>
                <c:pt idx="16">
                  <c:v>0.017602003240536162</c:v>
                </c:pt>
                <c:pt idx="17">
                  <c:v>0.018758502183718766</c:v>
                </c:pt>
                <c:pt idx="18">
                  <c:v>0.017971080152527654</c:v>
                </c:pt>
                <c:pt idx="19">
                  <c:v>0.018032159264931086</c:v>
                </c:pt>
                <c:pt idx="20">
                  <c:v>0.017652524001238772</c:v>
                </c:pt>
                <c:pt idx="21">
                  <c:v>0.01638512854523466</c:v>
                </c:pt>
                <c:pt idx="22">
                  <c:v>0.016477023331194923</c:v>
                </c:pt>
                <c:pt idx="23">
                  <c:v>0.015314627031532158</c:v>
                </c:pt>
                <c:pt idx="24">
                  <c:v>0.016712167047886077</c:v>
                </c:pt>
                <c:pt idx="25">
                  <c:v>0.016289467299760857</c:v>
                </c:pt>
                <c:pt idx="26">
                  <c:v>0.01560637663885578</c:v>
                </c:pt>
                <c:pt idx="27">
                  <c:v>0.01524702155044388</c:v>
                </c:pt>
                <c:pt idx="28">
                  <c:v>0.015058061403811033</c:v>
                </c:pt>
                <c:pt idx="29">
                  <c:v>0.013757989383598743</c:v>
                </c:pt>
                <c:pt idx="30">
                  <c:v>0.014635067510150127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Req3!$B$161</c:f>
              <c:strCache>
                <c:ptCount val="1"/>
                <c:pt idx="0">
                  <c:v>CADUET® (=TAHOR® 10mg)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Req3!$C$161:$AG$161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0.0004720989519403267</c:v>
                </c:pt>
              </c:numCache>
            </c:numRef>
          </c:val>
          <c:smooth val="0"/>
        </c:ser>
        <c:marker val="1"/>
        <c:axId val="63780766"/>
        <c:axId val="37155983"/>
      </c:lineChart>
      <c:dateAx>
        <c:axId val="6378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 val="autoZero"/>
        <c:auto val="0"/>
        <c:noMultiLvlLbl val="0"/>
      </c:dateAx>
      <c:valAx>
        <c:axId val="37155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Nbre boites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807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  <c:w val="0.175"/>
          <c:h val="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 de patient (mensuels) - Total panier 11 hypolipémiants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- 1943 médecins non visités au 16/01/07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8"/>
          <c:w val="0.7417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Req2!$B$108</c:f>
              <c:strCache>
                <c:ptCount val="1"/>
                <c:pt idx="0">
                  <c:v>Total panier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Req2!$C$108:$AG$108</c:f>
              <c:numCache>
                <c:ptCount val="31"/>
                <c:pt idx="0">
                  <c:v>22275</c:v>
                </c:pt>
                <c:pt idx="1">
                  <c:v>21437</c:v>
                </c:pt>
                <c:pt idx="2">
                  <c:v>22452</c:v>
                </c:pt>
                <c:pt idx="3">
                  <c:v>22404</c:v>
                </c:pt>
                <c:pt idx="4">
                  <c:v>23232</c:v>
                </c:pt>
                <c:pt idx="5">
                  <c:v>23522</c:v>
                </c:pt>
                <c:pt idx="6">
                  <c:v>22841</c:v>
                </c:pt>
                <c:pt idx="7">
                  <c:v>20988</c:v>
                </c:pt>
                <c:pt idx="8">
                  <c:v>25459</c:v>
                </c:pt>
                <c:pt idx="9">
                  <c:v>23777</c:v>
                </c:pt>
                <c:pt idx="10">
                  <c:v>24582</c:v>
                </c:pt>
                <c:pt idx="11">
                  <c:v>24309</c:v>
                </c:pt>
                <c:pt idx="12">
                  <c:v>23726</c:v>
                </c:pt>
                <c:pt idx="13">
                  <c:v>23857</c:v>
                </c:pt>
                <c:pt idx="14">
                  <c:v>23882</c:v>
                </c:pt>
                <c:pt idx="15">
                  <c:v>24054</c:v>
                </c:pt>
                <c:pt idx="16">
                  <c:v>24533</c:v>
                </c:pt>
                <c:pt idx="17">
                  <c:v>25157</c:v>
                </c:pt>
                <c:pt idx="18">
                  <c:v>24462</c:v>
                </c:pt>
                <c:pt idx="19">
                  <c:v>24366</c:v>
                </c:pt>
                <c:pt idx="20">
                  <c:v>26067</c:v>
                </c:pt>
                <c:pt idx="21">
                  <c:v>24153</c:v>
                </c:pt>
                <c:pt idx="22">
                  <c:v>26235</c:v>
                </c:pt>
                <c:pt idx="23">
                  <c:v>25946</c:v>
                </c:pt>
                <c:pt idx="24">
                  <c:v>25030</c:v>
                </c:pt>
                <c:pt idx="25">
                  <c:v>25646</c:v>
                </c:pt>
                <c:pt idx="26">
                  <c:v>25005</c:v>
                </c:pt>
                <c:pt idx="27">
                  <c:v>27121</c:v>
                </c:pt>
                <c:pt idx="28">
                  <c:v>26651</c:v>
                </c:pt>
                <c:pt idx="29">
                  <c:v>25771</c:v>
                </c:pt>
                <c:pt idx="30">
                  <c:v>28189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Req2!$C$109:$AG$109</c:f>
              <c:numCache>
                <c:ptCount val="31"/>
                <c:pt idx="0">
                  <c:v>10026</c:v>
                </c:pt>
                <c:pt idx="1">
                  <c:v>9638</c:v>
                </c:pt>
                <c:pt idx="2">
                  <c:v>10020</c:v>
                </c:pt>
                <c:pt idx="3">
                  <c:v>9919</c:v>
                </c:pt>
                <c:pt idx="4">
                  <c:v>10173</c:v>
                </c:pt>
                <c:pt idx="5">
                  <c:v>10283</c:v>
                </c:pt>
                <c:pt idx="6">
                  <c:v>9925</c:v>
                </c:pt>
                <c:pt idx="7">
                  <c:v>9078</c:v>
                </c:pt>
                <c:pt idx="8">
                  <c:v>10711</c:v>
                </c:pt>
                <c:pt idx="9">
                  <c:v>9958</c:v>
                </c:pt>
                <c:pt idx="10">
                  <c:v>10300</c:v>
                </c:pt>
                <c:pt idx="11">
                  <c:v>10079</c:v>
                </c:pt>
                <c:pt idx="12">
                  <c:v>9803</c:v>
                </c:pt>
                <c:pt idx="13">
                  <c:v>9812</c:v>
                </c:pt>
                <c:pt idx="14">
                  <c:v>9757</c:v>
                </c:pt>
                <c:pt idx="15">
                  <c:v>9703</c:v>
                </c:pt>
                <c:pt idx="16">
                  <c:v>9827</c:v>
                </c:pt>
                <c:pt idx="17">
                  <c:v>9921</c:v>
                </c:pt>
                <c:pt idx="18">
                  <c:v>9667</c:v>
                </c:pt>
                <c:pt idx="19">
                  <c:v>9489</c:v>
                </c:pt>
                <c:pt idx="20">
                  <c:v>9927</c:v>
                </c:pt>
                <c:pt idx="21">
                  <c:v>9097</c:v>
                </c:pt>
                <c:pt idx="22">
                  <c:v>9798</c:v>
                </c:pt>
                <c:pt idx="23">
                  <c:v>9589</c:v>
                </c:pt>
                <c:pt idx="24">
                  <c:v>9143</c:v>
                </c:pt>
                <c:pt idx="25">
                  <c:v>9425</c:v>
                </c:pt>
                <c:pt idx="26">
                  <c:v>8998</c:v>
                </c:pt>
                <c:pt idx="27">
                  <c:v>9679</c:v>
                </c:pt>
                <c:pt idx="28">
                  <c:v>9409</c:v>
                </c:pt>
                <c:pt idx="29">
                  <c:v>9021</c:v>
                </c:pt>
                <c:pt idx="30">
                  <c:v>9779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Req2!$B$110</c:f>
              <c:strCache>
                <c:ptCount val="1"/>
                <c:pt idx="0">
                  <c:v>Statines "stricto sensu"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Req2!$C$110:$AG$110</c:f>
              <c:numCache>
                <c:ptCount val="31"/>
                <c:pt idx="0">
                  <c:v>17210</c:v>
                </c:pt>
                <c:pt idx="1">
                  <c:v>16565</c:v>
                </c:pt>
                <c:pt idx="2">
                  <c:v>17408</c:v>
                </c:pt>
                <c:pt idx="3">
                  <c:v>17422</c:v>
                </c:pt>
                <c:pt idx="4">
                  <c:v>18083</c:v>
                </c:pt>
                <c:pt idx="5">
                  <c:v>18304</c:v>
                </c:pt>
                <c:pt idx="6">
                  <c:v>17883</c:v>
                </c:pt>
                <c:pt idx="7">
                  <c:v>16372</c:v>
                </c:pt>
                <c:pt idx="8">
                  <c:v>19713</c:v>
                </c:pt>
                <c:pt idx="9">
                  <c:v>18408</c:v>
                </c:pt>
                <c:pt idx="10">
                  <c:v>19006</c:v>
                </c:pt>
                <c:pt idx="11">
                  <c:v>18725</c:v>
                </c:pt>
                <c:pt idx="12">
                  <c:v>18251</c:v>
                </c:pt>
                <c:pt idx="13">
                  <c:v>18318</c:v>
                </c:pt>
                <c:pt idx="14">
                  <c:v>18302</c:v>
                </c:pt>
                <c:pt idx="15">
                  <c:v>18317</c:v>
                </c:pt>
                <c:pt idx="16">
                  <c:v>18771</c:v>
                </c:pt>
                <c:pt idx="17">
                  <c:v>19194</c:v>
                </c:pt>
                <c:pt idx="18">
                  <c:v>18708</c:v>
                </c:pt>
                <c:pt idx="19">
                  <c:v>18681</c:v>
                </c:pt>
                <c:pt idx="20">
                  <c:v>19909</c:v>
                </c:pt>
                <c:pt idx="21">
                  <c:v>18481</c:v>
                </c:pt>
                <c:pt idx="22">
                  <c:v>20048</c:v>
                </c:pt>
                <c:pt idx="23">
                  <c:v>19850</c:v>
                </c:pt>
                <c:pt idx="24">
                  <c:v>19125</c:v>
                </c:pt>
                <c:pt idx="25">
                  <c:v>19555</c:v>
                </c:pt>
                <c:pt idx="26">
                  <c:v>19060</c:v>
                </c:pt>
                <c:pt idx="27">
                  <c:v>20604</c:v>
                </c:pt>
                <c:pt idx="28">
                  <c:v>20222</c:v>
                </c:pt>
                <c:pt idx="29">
                  <c:v>19616</c:v>
                </c:pt>
                <c:pt idx="30">
                  <c:v>21347</c:v>
                </c:pt>
              </c:numCache>
            </c:numRef>
          </c:val>
          <c:smooth val="0"/>
        </c:ser>
        <c:marker val="1"/>
        <c:axId val="65610958"/>
        <c:axId val="53627711"/>
      </c:lineChart>
      <c:dateAx>
        <c:axId val="65610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27711"/>
        <c:crosses val="autoZero"/>
        <c:auto val="0"/>
        <c:noMultiLvlLbl val="0"/>
      </c:dateAx>
      <c:valAx>
        <c:axId val="536277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 de patients (mensuel)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56109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Cumuls annuels des montants remboursés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- 1943 médecins non visités au 16/01/07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0025"/>
          <c:w val="0.7537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Req1!$B$97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Req1!$C$97:$V$97</c:f>
              <c:numCache>
                <c:ptCount val="20"/>
                <c:pt idx="0">
                  <c:v>1193207.2875</c:v>
                </c:pt>
                <c:pt idx="1">
                  <c:v>1178050.068</c:v>
                </c:pt>
                <c:pt idx="2">
                  <c:v>1169743.7179999999</c:v>
                </c:pt>
                <c:pt idx="3">
                  <c:v>1153707.912</c:v>
                </c:pt>
                <c:pt idx="4">
                  <c:v>1139075.8429999999</c:v>
                </c:pt>
                <c:pt idx="5">
                  <c:v>1122615.216</c:v>
                </c:pt>
                <c:pt idx="6">
                  <c:v>1104628.6964999998</c:v>
                </c:pt>
                <c:pt idx="7">
                  <c:v>1088085.8245</c:v>
                </c:pt>
                <c:pt idx="8">
                  <c:v>1079510.8990000002</c:v>
                </c:pt>
                <c:pt idx="9">
                  <c:v>1050124.924</c:v>
                </c:pt>
                <c:pt idx="10">
                  <c:v>1023823.0895</c:v>
                </c:pt>
                <c:pt idx="11">
                  <c:v>1004408.959</c:v>
                </c:pt>
                <c:pt idx="12">
                  <c:v>991931.256</c:v>
                </c:pt>
                <c:pt idx="13">
                  <c:v>977744.4464999998</c:v>
                </c:pt>
                <c:pt idx="14">
                  <c:v>966196.9825</c:v>
                </c:pt>
                <c:pt idx="15">
                  <c:v>952648.8865</c:v>
                </c:pt>
                <c:pt idx="16">
                  <c:v>948676.5335000001</c:v>
                </c:pt>
                <c:pt idx="17">
                  <c:v>936017.1955</c:v>
                </c:pt>
                <c:pt idx="18">
                  <c:v>920035.0366999999</c:v>
                </c:pt>
                <c:pt idx="19">
                  <c:v>916151.0124000001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Req1!$C$98:$V$98</c:f>
              <c:numCache>
                <c:ptCount val="20"/>
                <c:pt idx="0">
                  <c:v>1661992.672</c:v>
                </c:pt>
                <c:pt idx="1">
                  <c:v>1659094.8484999998</c:v>
                </c:pt>
                <c:pt idx="2">
                  <c:v>1662634.25</c:v>
                </c:pt>
                <c:pt idx="3">
                  <c:v>1656266.4874999998</c:v>
                </c:pt>
                <c:pt idx="4">
                  <c:v>1653572.1094999998</c:v>
                </c:pt>
                <c:pt idx="5">
                  <c:v>1645880.462</c:v>
                </c:pt>
                <c:pt idx="6">
                  <c:v>1638902.7289999998</c:v>
                </c:pt>
                <c:pt idx="7">
                  <c:v>1631843.7434999999</c:v>
                </c:pt>
                <c:pt idx="8">
                  <c:v>1634760.471</c:v>
                </c:pt>
                <c:pt idx="9">
                  <c:v>1611553.7415</c:v>
                </c:pt>
                <c:pt idx="10">
                  <c:v>1594775.6445</c:v>
                </c:pt>
                <c:pt idx="11">
                  <c:v>1586097.6055</c:v>
                </c:pt>
                <c:pt idx="12">
                  <c:v>1578593.8105000001</c:v>
                </c:pt>
                <c:pt idx="13">
                  <c:v>1557189.8775</c:v>
                </c:pt>
                <c:pt idx="14">
                  <c:v>1533462.4615</c:v>
                </c:pt>
                <c:pt idx="15">
                  <c:v>1497261.6332</c:v>
                </c:pt>
                <c:pt idx="16">
                  <c:v>1468816.4134</c:v>
                </c:pt>
                <c:pt idx="17">
                  <c:v>1430936.0568</c:v>
                </c:pt>
                <c:pt idx="18">
                  <c:v>1384837.0283</c:v>
                </c:pt>
                <c:pt idx="19">
                  <c:v>1354913.1892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Req1!$C$99:$V$99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1114.568</c:v>
                </c:pt>
                <c:pt idx="13">
                  <c:v>3628.47</c:v>
                </c:pt>
                <c:pt idx="14">
                  <c:v>6742.524</c:v>
                </c:pt>
                <c:pt idx="15">
                  <c:v>10579.21</c:v>
                </c:pt>
                <c:pt idx="16">
                  <c:v>16790.2723</c:v>
                </c:pt>
                <c:pt idx="17">
                  <c:v>23542.8579</c:v>
                </c:pt>
                <c:pt idx="18">
                  <c:v>31287.2856</c:v>
                </c:pt>
                <c:pt idx="19">
                  <c:v>39636.2536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Req1!$B$100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Req1!$C$100:$V$100</c:f>
              <c:numCache>
                <c:ptCount val="20"/>
                <c:pt idx="0">
                  <c:v>377955.771</c:v>
                </c:pt>
                <c:pt idx="1">
                  <c:v>380101.73699999996</c:v>
                </c:pt>
                <c:pt idx="2">
                  <c:v>384411.9695</c:v>
                </c:pt>
                <c:pt idx="3">
                  <c:v>386330.4055</c:v>
                </c:pt>
                <c:pt idx="4">
                  <c:v>388988.67000000004</c:v>
                </c:pt>
                <c:pt idx="5">
                  <c:v>389341.7175</c:v>
                </c:pt>
                <c:pt idx="6">
                  <c:v>391359.0865</c:v>
                </c:pt>
                <c:pt idx="7">
                  <c:v>392281.4395</c:v>
                </c:pt>
                <c:pt idx="8">
                  <c:v>395898.95149999997</c:v>
                </c:pt>
                <c:pt idx="9">
                  <c:v>392222.655</c:v>
                </c:pt>
                <c:pt idx="10">
                  <c:v>391701.8395</c:v>
                </c:pt>
                <c:pt idx="11">
                  <c:v>393167.7855</c:v>
                </c:pt>
                <c:pt idx="12">
                  <c:v>393509.3585</c:v>
                </c:pt>
                <c:pt idx="13">
                  <c:v>392572.9179</c:v>
                </c:pt>
                <c:pt idx="14">
                  <c:v>391813.0369</c:v>
                </c:pt>
                <c:pt idx="15">
                  <c:v>389970.5889</c:v>
                </c:pt>
                <c:pt idx="16">
                  <c:v>391175.685</c:v>
                </c:pt>
                <c:pt idx="17">
                  <c:v>392455.1673</c:v>
                </c:pt>
                <c:pt idx="18">
                  <c:v>389549.2592</c:v>
                </c:pt>
                <c:pt idx="19">
                  <c:v>392360.59750000003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Req1!$B$101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Req1!$C$101:$V$101</c:f>
              <c:numCache>
                <c:ptCount val="20"/>
                <c:pt idx="0">
                  <c:v>1781278.1495</c:v>
                </c:pt>
                <c:pt idx="1">
                  <c:v>1798830.1409999998</c:v>
                </c:pt>
                <c:pt idx="2">
                  <c:v>1828226.774</c:v>
                </c:pt>
                <c:pt idx="3">
                  <c:v>1844489.2520000003</c:v>
                </c:pt>
                <c:pt idx="4">
                  <c:v>1862779.0465</c:v>
                </c:pt>
                <c:pt idx="5">
                  <c:v>1881153.1220000002</c:v>
                </c:pt>
                <c:pt idx="6">
                  <c:v>1905007.5235000001</c:v>
                </c:pt>
                <c:pt idx="7">
                  <c:v>1925638.1715</c:v>
                </c:pt>
                <c:pt idx="8">
                  <c:v>1958774.428</c:v>
                </c:pt>
                <c:pt idx="9">
                  <c:v>1959617.4234999998</c:v>
                </c:pt>
                <c:pt idx="10">
                  <c:v>1963518.8395</c:v>
                </c:pt>
                <c:pt idx="11">
                  <c:v>1984930.0829999999</c:v>
                </c:pt>
                <c:pt idx="12">
                  <c:v>2003500.097</c:v>
                </c:pt>
                <c:pt idx="13">
                  <c:v>2018405.1925</c:v>
                </c:pt>
                <c:pt idx="14">
                  <c:v>2035702.68</c:v>
                </c:pt>
                <c:pt idx="15">
                  <c:v>2046051.6284999999</c:v>
                </c:pt>
                <c:pt idx="16">
                  <c:v>2077363.7889</c:v>
                </c:pt>
                <c:pt idx="17">
                  <c:v>2091930.0583</c:v>
                </c:pt>
                <c:pt idx="18">
                  <c:v>2075563.2169999997</c:v>
                </c:pt>
                <c:pt idx="19">
                  <c:v>2091555.7537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Req1!$B$102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Req1!$C$102:$V$102</c:f>
              <c:numCache>
                <c:ptCount val="20"/>
                <c:pt idx="0">
                  <c:v>266863.008</c:v>
                </c:pt>
                <c:pt idx="1">
                  <c:v>279581.1885</c:v>
                </c:pt>
                <c:pt idx="2">
                  <c:v>294492.3525</c:v>
                </c:pt>
                <c:pt idx="3">
                  <c:v>306756.0675</c:v>
                </c:pt>
                <c:pt idx="4">
                  <c:v>317878.70999999996</c:v>
                </c:pt>
                <c:pt idx="5">
                  <c:v>327830.343</c:v>
                </c:pt>
                <c:pt idx="6">
                  <c:v>339438.84599999996</c:v>
                </c:pt>
                <c:pt idx="7">
                  <c:v>350172.228</c:v>
                </c:pt>
                <c:pt idx="8">
                  <c:v>365091.852</c:v>
                </c:pt>
                <c:pt idx="9">
                  <c:v>378967.326</c:v>
                </c:pt>
                <c:pt idx="10">
                  <c:v>393001.27349999995</c:v>
                </c:pt>
                <c:pt idx="11">
                  <c:v>411015.6975</c:v>
                </c:pt>
                <c:pt idx="12">
                  <c:v>433135.5015</c:v>
                </c:pt>
                <c:pt idx="13">
                  <c:v>455748.07680000004</c:v>
                </c:pt>
                <c:pt idx="14">
                  <c:v>479203.7294</c:v>
                </c:pt>
                <c:pt idx="15">
                  <c:v>502601.1345</c:v>
                </c:pt>
                <c:pt idx="16">
                  <c:v>534848.6012</c:v>
                </c:pt>
                <c:pt idx="17">
                  <c:v>563888.3069</c:v>
                </c:pt>
                <c:pt idx="18">
                  <c:v>590129.867</c:v>
                </c:pt>
                <c:pt idx="19">
                  <c:v>627639.6377000001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Req1!$B$103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Req1!$C$103:$V$103</c:f>
              <c:numCache>
                <c:ptCount val="20"/>
                <c:pt idx="0">
                  <c:v>79623.661</c:v>
                </c:pt>
                <c:pt idx="1">
                  <c:v>102365.8675</c:v>
                </c:pt>
                <c:pt idx="2">
                  <c:v>127873.317</c:v>
                </c:pt>
                <c:pt idx="3">
                  <c:v>154010.051</c:v>
                </c:pt>
                <c:pt idx="4">
                  <c:v>181824.877</c:v>
                </c:pt>
                <c:pt idx="5">
                  <c:v>211308.773</c:v>
                </c:pt>
                <c:pt idx="6">
                  <c:v>244117.276</c:v>
                </c:pt>
                <c:pt idx="7">
                  <c:v>274837.186</c:v>
                </c:pt>
                <c:pt idx="8">
                  <c:v>300507.0315</c:v>
                </c:pt>
                <c:pt idx="9">
                  <c:v>322965.045</c:v>
                </c:pt>
                <c:pt idx="10">
                  <c:v>338821.21</c:v>
                </c:pt>
                <c:pt idx="11">
                  <c:v>353554.136</c:v>
                </c:pt>
                <c:pt idx="12">
                  <c:v>365817.2895</c:v>
                </c:pt>
                <c:pt idx="13">
                  <c:v>375076.117</c:v>
                </c:pt>
                <c:pt idx="14">
                  <c:v>385140.158</c:v>
                </c:pt>
                <c:pt idx="15">
                  <c:v>392224.6835</c:v>
                </c:pt>
                <c:pt idx="16">
                  <c:v>402940.564</c:v>
                </c:pt>
                <c:pt idx="17">
                  <c:v>410981.4215</c:v>
                </c:pt>
                <c:pt idx="18">
                  <c:v>413951.915</c:v>
                </c:pt>
                <c:pt idx="19">
                  <c:v>423898.67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Req1!$B$104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Req1!$C$104:$V$104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700.888</c:v>
                </c:pt>
                <c:pt idx="8">
                  <c:v>5118.775</c:v>
                </c:pt>
                <c:pt idx="9">
                  <c:v>12981.815999999999</c:v>
                </c:pt>
                <c:pt idx="10">
                  <c:v>22411.759</c:v>
                </c:pt>
                <c:pt idx="11">
                  <c:v>34803.117</c:v>
                </c:pt>
                <c:pt idx="12">
                  <c:v>50383.877</c:v>
                </c:pt>
                <c:pt idx="13">
                  <c:v>65981.738</c:v>
                </c:pt>
                <c:pt idx="14">
                  <c:v>85583.68900000001</c:v>
                </c:pt>
                <c:pt idx="15">
                  <c:v>104720.39600000001</c:v>
                </c:pt>
                <c:pt idx="16">
                  <c:v>130032.769</c:v>
                </c:pt>
                <c:pt idx="17">
                  <c:v>156492.43099999998</c:v>
                </c:pt>
                <c:pt idx="18">
                  <c:v>184067.179</c:v>
                </c:pt>
                <c:pt idx="19">
                  <c:v>218709.94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Req1!$B$105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Req1!$C$105:$V$105</c:f>
              <c:numCache>
                <c:ptCount val="20"/>
                <c:pt idx="0">
                  <c:v>8982.206</c:v>
                </c:pt>
                <c:pt idx="1">
                  <c:v>8833.004</c:v>
                </c:pt>
                <c:pt idx="2">
                  <c:v>8865.546</c:v>
                </c:pt>
                <c:pt idx="3">
                  <c:v>8844.056</c:v>
                </c:pt>
                <c:pt idx="4">
                  <c:v>8906.684</c:v>
                </c:pt>
                <c:pt idx="5">
                  <c:v>8780.2</c:v>
                </c:pt>
                <c:pt idx="6">
                  <c:v>8710.818</c:v>
                </c:pt>
                <c:pt idx="7">
                  <c:v>8543.81</c:v>
                </c:pt>
                <c:pt idx="8">
                  <c:v>8586.176</c:v>
                </c:pt>
                <c:pt idx="9">
                  <c:v>8498.374</c:v>
                </c:pt>
                <c:pt idx="10">
                  <c:v>8437.588</c:v>
                </c:pt>
                <c:pt idx="11">
                  <c:v>8473.2</c:v>
                </c:pt>
                <c:pt idx="12">
                  <c:v>8390.924</c:v>
                </c:pt>
                <c:pt idx="13">
                  <c:v>8426.536</c:v>
                </c:pt>
                <c:pt idx="14">
                  <c:v>8275.492</c:v>
                </c:pt>
                <c:pt idx="15">
                  <c:v>8147.78</c:v>
                </c:pt>
                <c:pt idx="16">
                  <c:v>8206.11</c:v>
                </c:pt>
                <c:pt idx="17">
                  <c:v>8071.644</c:v>
                </c:pt>
                <c:pt idx="18">
                  <c:v>7792.274</c:v>
                </c:pt>
                <c:pt idx="19">
                  <c:v>7934.108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Req1!$B$106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Req1!$C$106:$V$106</c:f>
              <c:numCache>
                <c:ptCount val="20"/>
                <c:pt idx="0">
                  <c:v>504661.86549999996</c:v>
                </c:pt>
                <c:pt idx="1">
                  <c:v>502653.316</c:v>
                </c:pt>
                <c:pt idx="2">
                  <c:v>503393.84700000007</c:v>
                </c:pt>
                <c:pt idx="3">
                  <c:v>501891.83499999996</c:v>
                </c:pt>
                <c:pt idx="4">
                  <c:v>502527.624</c:v>
                </c:pt>
                <c:pt idx="5">
                  <c:v>501591.8595</c:v>
                </c:pt>
                <c:pt idx="6">
                  <c:v>500876.71699999995</c:v>
                </c:pt>
                <c:pt idx="7">
                  <c:v>500664.61100000003</c:v>
                </c:pt>
                <c:pt idx="8">
                  <c:v>503267.406</c:v>
                </c:pt>
                <c:pt idx="9">
                  <c:v>498346.6725</c:v>
                </c:pt>
                <c:pt idx="10">
                  <c:v>494272.615</c:v>
                </c:pt>
                <c:pt idx="11">
                  <c:v>493018.804</c:v>
                </c:pt>
                <c:pt idx="12">
                  <c:v>488403.922</c:v>
                </c:pt>
                <c:pt idx="13">
                  <c:v>481658.37100000004</c:v>
                </c:pt>
                <c:pt idx="14">
                  <c:v>475509.84849999996</c:v>
                </c:pt>
                <c:pt idx="15">
                  <c:v>467334.09449999995</c:v>
                </c:pt>
                <c:pt idx="16">
                  <c:v>460619.50100000005</c:v>
                </c:pt>
                <c:pt idx="17">
                  <c:v>451150.9645</c:v>
                </c:pt>
                <c:pt idx="18">
                  <c:v>437826.804</c:v>
                </c:pt>
                <c:pt idx="19">
                  <c:v>431248.5945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Req1!$B$107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Req1!$C$107:$V$107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407.236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Req1!$B$109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Req1!$C$109:$V$109</c:f>
              <c:numCache>
                <c:ptCount val="20"/>
                <c:pt idx="0">
                  <c:v>2855199.9595</c:v>
                </c:pt>
                <c:pt idx="1">
                  <c:v>2837144.9165</c:v>
                </c:pt>
                <c:pt idx="2">
                  <c:v>2832377.968</c:v>
                </c:pt>
                <c:pt idx="3">
                  <c:v>2809974.3995</c:v>
                </c:pt>
                <c:pt idx="4">
                  <c:v>2792647.9524999997</c:v>
                </c:pt>
                <c:pt idx="5">
                  <c:v>2768495.6780000003</c:v>
                </c:pt>
                <c:pt idx="6">
                  <c:v>2743531.4255</c:v>
                </c:pt>
                <c:pt idx="7">
                  <c:v>2719929.568</c:v>
                </c:pt>
                <c:pt idx="8">
                  <c:v>2714271.37</c:v>
                </c:pt>
                <c:pt idx="9">
                  <c:v>2661678.6655</c:v>
                </c:pt>
                <c:pt idx="10">
                  <c:v>2618598.734</c:v>
                </c:pt>
                <c:pt idx="11">
                  <c:v>2590506.5645000003</c:v>
                </c:pt>
                <c:pt idx="12">
                  <c:v>2571639.6345</c:v>
                </c:pt>
                <c:pt idx="13">
                  <c:v>2538562.794</c:v>
                </c:pt>
                <c:pt idx="14">
                  <c:v>2506401.9680000003</c:v>
                </c:pt>
                <c:pt idx="15">
                  <c:v>2460489.7297</c:v>
                </c:pt>
                <c:pt idx="16">
                  <c:v>2434283.2191999997</c:v>
                </c:pt>
                <c:pt idx="17">
                  <c:v>2390496.1102</c:v>
                </c:pt>
                <c:pt idx="18">
                  <c:v>2336159.3506</c:v>
                </c:pt>
                <c:pt idx="19">
                  <c:v>2310700.4552</c:v>
                </c:pt>
              </c:numCache>
            </c:numRef>
          </c:val>
          <c:smooth val="0"/>
        </c:ser>
        <c:marker val="1"/>
        <c:axId val="12887352"/>
        <c:axId val="48877305"/>
      </c:lineChart>
      <c:dateAx>
        <c:axId val="12887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77305"/>
        <c:crosses val="autoZero"/>
        <c:auto val="0"/>
        <c:noMultiLvlLbl val="0"/>
      </c:dateAx>
      <c:valAx>
        <c:axId val="48877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cumulé annuel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28873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347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% Cumuls annuels des montants remboursés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- 1943 médecins non visités au 16/01/07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95"/>
          <c:w val="0.753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Req1!$B$115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Req1!$C$115:$V$115</c:f>
              <c:numCache>
                <c:ptCount val="20"/>
                <c:pt idx="0">
                  <c:v>0.20311416497763246</c:v>
                </c:pt>
                <c:pt idx="1">
                  <c:v>0.19934817506208405</c:v>
                </c:pt>
                <c:pt idx="2">
                  <c:v>0.19562103587645446</c:v>
                </c:pt>
                <c:pt idx="3">
                  <c:v>0.19189140042992262</c:v>
                </c:pt>
                <c:pt idx="4">
                  <c:v>0.18810432951526607</c:v>
                </c:pt>
                <c:pt idx="5">
                  <c:v>0.18438283712570525</c:v>
                </c:pt>
                <c:pt idx="6">
                  <c:v>0.18011106916994105</c:v>
                </c:pt>
                <c:pt idx="7">
                  <c:v>0.17627194830174264</c:v>
                </c:pt>
                <c:pt idx="8">
                  <c:v>0.17267985888971552</c:v>
                </c:pt>
                <c:pt idx="9">
                  <c:v>0.16841669734523076</c:v>
                </c:pt>
                <c:pt idx="10">
                  <c:v>0.16431742764625912</c:v>
                </c:pt>
                <c:pt idx="11">
                  <c:v>0.16020637424318235</c:v>
                </c:pt>
                <c:pt idx="12">
                  <c:v>0.15708087393751677</c:v>
                </c:pt>
                <c:pt idx="13">
                  <c:v>0.15430521248008</c:v>
                </c:pt>
                <c:pt idx="14">
                  <c:v>0.15173571504397187</c:v>
                </c:pt>
                <c:pt idx="15">
                  <c:v>0.1495162678374806</c:v>
                </c:pt>
                <c:pt idx="16">
                  <c:v>0.14732213961601406</c:v>
                </c:pt>
                <c:pt idx="17">
                  <c:v>0.14477180461349018</c:v>
                </c:pt>
                <c:pt idx="18">
                  <c:v>0.14297270193921666</c:v>
                </c:pt>
                <c:pt idx="19">
                  <c:v>0.1408497734925199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Req1!$C$116:$V$116</c:f>
              <c:numCache>
                <c:ptCount val="20"/>
                <c:pt idx="0">
                  <c:v>0.28291333560282517</c:v>
                </c:pt>
                <c:pt idx="1">
                  <c:v>0.2807499776854814</c:v>
                </c:pt>
                <c:pt idx="2">
                  <c:v>0.2780491395369665</c:v>
                </c:pt>
                <c:pt idx="3">
                  <c:v>0.2754798614673311</c:v>
                </c:pt>
                <c:pt idx="4">
                  <c:v>0.273067043668875</c:v>
                </c:pt>
                <c:pt idx="5">
                  <c:v>0.2703260251848631</c:v>
                </c:pt>
                <c:pt idx="6">
                  <c:v>0.2672251080575872</c:v>
                </c:pt>
                <c:pt idx="7">
                  <c:v>0.2643617530105541</c:v>
                </c:pt>
                <c:pt idx="8">
                  <c:v>0.2614982467636622</c:v>
                </c:pt>
                <c:pt idx="9">
                  <c:v>0.25845740114799876</c:v>
                </c:pt>
                <c:pt idx="10">
                  <c:v>0.25595186733395603</c:v>
                </c:pt>
                <c:pt idx="11">
                  <c:v>0.25298753490404535</c:v>
                </c:pt>
                <c:pt idx="12">
                  <c:v>0.24998395185733996</c:v>
                </c:pt>
                <c:pt idx="13">
                  <c:v>0.24575185855526852</c:v>
                </c:pt>
                <c:pt idx="14">
                  <c:v>0.2408215170437998</c:v>
                </c:pt>
                <c:pt idx="15">
                  <c:v>0.23499210941691978</c:v>
                </c:pt>
                <c:pt idx="16">
                  <c:v>0.2280958462489552</c:v>
                </c:pt>
                <c:pt idx="17">
                  <c:v>0.22131986060233405</c:v>
                </c:pt>
                <c:pt idx="18">
                  <c:v>0.21520255618926737</c:v>
                </c:pt>
                <c:pt idx="19">
                  <c:v>0.20830541386502943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Req1!$C$117:$V$117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0.00017650146060403017</c:v>
                </c:pt>
                <c:pt idx="13">
                  <c:v>0.0005726361692278822</c:v>
                </c:pt>
                <c:pt idx="14">
                  <c:v>0.0010588748659656898</c:v>
                </c:pt>
                <c:pt idx="15">
                  <c:v>0.0016603850781585444</c:v>
                </c:pt>
                <c:pt idx="16">
                  <c:v>0.002607399627400495</c:v>
                </c:pt>
                <c:pt idx="17">
                  <c:v>0.0036413241555047515</c:v>
                </c:pt>
                <c:pt idx="18">
                  <c:v>0.004862018923345145</c:v>
                </c:pt>
                <c:pt idx="19">
                  <c:v>0.006093708642014349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Req1!$B$118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Req1!$C$118:$V$118</c:f>
              <c:numCache>
                <c:ptCount val="20"/>
                <c:pt idx="0">
                  <c:v>0.06433766507241707</c:v>
                </c:pt>
                <c:pt idx="1">
                  <c:v>0.06432034568574739</c:v>
                </c:pt>
                <c:pt idx="2">
                  <c:v>0.06428678908015134</c:v>
                </c:pt>
                <c:pt idx="3">
                  <c:v>0.06425671677291477</c:v>
                </c:pt>
                <c:pt idx="4">
                  <c:v>0.06423668222712463</c:v>
                </c:pt>
                <c:pt idx="5">
                  <c:v>0.06394704923012985</c:v>
                </c:pt>
                <c:pt idx="6">
                  <c:v>0.06381158096130128</c:v>
                </c:pt>
                <c:pt idx="7">
                  <c:v>0.06355033037495211</c:v>
                </c:pt>
                <c:pt idx="8">
                  <c:v>0.06332847138730584</c:v>
                </c:pt>
                <c:pt idx="9">
                  <c:v>0.06290379617642315</c:v>
                </c:pt>
                <c:pt idx="10">
                  <c:v>0.06286578153104629</c:v>
                </c:pt>
                <c:pt idx="11">
                  <c:v>0.06271149298278635</c:v>
                </c:pt>
                <c:pt idx="12">
                  <c:v>0.06231560258019694</c:v>
                </c:pt>
                <c:pt idx="13">
                  <c:v>0.06195488783119825</c:v>
                </c:pt>
                <c:pt idx="14">
                  <c:v>0.06153199854106524</c:v>
                </c:pt>
                <c:pt idx="15">
                  <c:v>0.06120507549526478</c:v>
                </c:pt>
                <c:pt idx="16">
                  <c:v>0.060746563074926034</c:v>
                </c:pt>
                <c:pt idx="17">
                  <c:v>0.06070021263825189</c:v>
                </c:pt>
                <c:pt idx="18">
                  <c:v>0.06053564038823115</c:v>
                </c:pt>
                <c:pt idx="19">
                  <c:v>0.06032182526382019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Req1!$B$119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Req1!$C$119:$V$119</c:f>
              <c:numCache>
                <c:ptCount val="20"/>
                <c:pt idx="0">
                  <c:v>0.3032187514431308</c:v>
                </c:pt>
                <c:pt idx="1">
                  <c:v>0.3043958110064141</c:v>
                </c:pt>
                <c:pt idx="2">
                  <c:v>0.3057418559669056</c:v>
                </c:pt>
                <c:pt idx="3">
                  <c:v>0.3067861648193503</c:v>
                </c:pt>
                <c:pt idx="4">
                  <c:v>0.3076149895814876</c:v>
                </c:pt>
                <c:pt idx="5">
                  <c:v>0.3089681528975802</c:v>
                </c:pt>
                <c:pt idx="6">
                  <c:v>0.31061382247402686</c:v>
                </c:pt>
                <c:pt idx="7">
                  <c:v>0.31195700244554575</c:v>
                </c:pt>
                <c:pt idx="8">
                  <c:v>0.3133279081639204</c:v>
                </c:pt>
                <c:pt idx="9">
                  <c:v>0.3142790795488636</c:v>
                </c:pt>
                <c:pt idx="10">
                  <c:v>0.315132924965752</c:v>
                </c:pt>
                <c:pt idx="11">
                  <c:v>0.3166025639996795</c:v>
                </c:pt>
                <c:pt idx="12">
                  <c:v>0.31727152891597116</c:v>
                </c:pt>
                <c:pt idx="13">
                  <c:v>0.31853971987721164</c:v>
                </c:pt>
                <c:pt idx="14">
                  <c:v>0.3196954734504461</c:v>
                </c:pt>
                <c:pt idx="15">
                  <c:v>0.32112356150444027</c:v>
                </c:pt>
                <c:pt idx="16">
                  <c:v>0.3225985542326875</c:v>
                </c:pt>
                <c:pt idx="17">
                  <c:v>0.32355440810413477</c:v>
                </c:pt>
                <c:pt idx="18">
                  <c:v>0.32254084827522156</c:v>
                </c:pt>
                <c:pt idx="19">
                  <c:v>0.32155741812027683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Req1!$B$120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Req1!$C$120:$V$120</c:f>
              <c:numCache>
                <c:ptCount val="20"/>
                <c:pt idx="0">
                  <c:v>0.045426857178274854</c:v>
                </c:pt>
                <c:pt idx="1">
                  <c:v>0.04731038282930053</c:v>
                </c:pt>
                <c:pt idx="2">
                  <c:v>0.049249163015162245</c:v>
                </c:pt>
                <c:pt idx="3">
                  <c:v>0.05102145072482685</c:v>
                </c:pt>
                <c:pt idx="4">
                  <c:v>0.05249374919078826</c:v>
                </c:pt>
                <c:pt idx="5">
                  <c:v>0.0538441737442414</c:v>
                </c:pt>
                <c:pt idx="6">
                  <c:v>0.05534592181479777</c:v>
                </c:pt>
                <c:pt idx="7">
                  <c:v>0.05672855898024984</c:v>
                </c:pt>
                <c:pt idx="8">
                  <c:v>0.05840053078069468</c:v>
                </c:pt>
                <c:pt idx="9">
                  <c:v>0.06077793602266067</c:v>
                </c:pt>
                <c:pt idx="10">
                  <c:v>0.06307433284666504</c:v>
                </c:pt>
                <c:pt idx="11">
                  <c:v>0.06555829083709679</c:v>
                </c:pt>
                <c:pt idx="12">
                  <c:v>0.06859074426523022</c:v>
                </c:pt>
                <c:pt idx="13">
                  <c:v>0.07192503529910035</c:v>
                </c:pt>
                <c:pt idx="14">
                  <c:v>0.07525620742895149</c:v>
                </c:pt>
                <c:pt idx="15">
                  <c:v>0.07888220613725937</c:v>
                </c:pt>
                <c:pt idx="16">
                  <c:v>0.08305785746456036</c:v>
                </c:pt>
                <c:pt idx="17">
                  <c:v>0.08721541461292372</c:v>
                </c:pt>
                <c:pt idx="18">
                  <c:v>0.09170570490733634</c:v>
                </c:pt>
                <c:pt idx="19">
                  <c:v>0.09649380899922504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Req1!$B$121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Req1!$C$121:$V$121</c:f>
              <c:numCache>
                <c:ptCount val="20"/>
                <c:pt idx="0">
                  <c:v>0.013553968020394845</c:v>
                </c:pt>
                <c:pt idx="1">
                  <c:v>0.017322225454658773</c:v>
                </c:pt>
                <c:pt idx="2">
                  <c:v>0.02138477886016588</c:v>
                </c:pt>
                <c:pt idx="3">
                  <c:v>0.025615846142063903</c:v>
                </c:pt>
                <c:pt idx="4">
                  <c:v>0.03002613635208198</c:v>
                </c:pt>
                <c:pt idx="5">
                  <c:v>0.03470620255274682</c:v>
                </c:pt>
                <c:pt idx="6">
                  <c:v>0.03980362245026431</c:v>
                </c:pt>
                <c:pt idx="7">
                  <c:v>0.04452414060651005</c:v>
                </c:pt>
                <c:pt idx="8">
                  <c:v>0.048069465387386774</c:v>
                </c:pt>
                <c:pt idx="9">
                  <c:v>0.05179641487763967</c:v>
                </c:pt>
                <c:pt idx="10">
                  <c:v>0.05437875960228866</c:v>
                </c:pt>
                <c:pt idx="11">
                  <c:v>0.056392991838338416</c:v>
                </c:pt>
                <c:pt idx="12">
                  <c:v>0.05793032449429497</c:v>
                </c:pt>
                <c:pt idx="13">
                  <c:v>0.05919358594882938</c:v>
                </c:pt>
                <c:pt idx="14">
                  <c:v>0.060484061040087446</c:v>
                </c:pt>
                <c:pt idx="15">
                  <c:v>0.061558850969860496</c:v>
                </c:pt>
                <c:pt idx="16">
                  <c:v>0.06257355793081125</c:v>
                </c:pt>
                <c:pt idx="17">
                  <c:v>0.06356562928460907</c:v>
                </c:pt>
                <c:pt idx="18">
                  <c:v>0.06432779339876518</c:v>
                </c:pt>
                <c:pt idx="19">
                  <c:v>0.06517051320706528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Req1!$B$122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Req1!$C$122:$V$122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0.0001135451731099285</c:v>
                </c:pt>
                <c:pt idx="8">
                  <c:v>0.0008188053918742356</c:v>
                </c:pt>
                <c:pt idx="9">
                  <c:v>0.0020819947477634325</c:v>
                </c:pt>
                <c:pt idx="10">
                  <c:v>0.003596952076658451</c:v>
                </c:pt>
                <c:pt idx="11">
                  <c:v>0.0055512061466302205</c:v>
                </c:pt>
                <c:pt idx="12">
                  <c:v>0.007978721694319056</c:v>
                </c:pt>
                <c:pt idx="13">
                  <c:v>0.010413074846234854</c:v>
                </c:pt>
                <c:pt idx="14">
                  <c:v>0.01344042931381843</c:v>
                </c:pt>
                <c:pt idx="15">
                  <c:v>0.016435649060492583</c:v>
                </c:pt>
                <c:pt idx="16">
                  <c:v>0.020193084863814544</c:v>
                </c:pt>
                <c:pt idx="17">
                  <c:v>0.024204354100695675</c:v>
                </c:pt>
                <c:pt idx="18">
                  <c:v>0.028603891015229463</c:v>
                </c:pt>
                <c:pt idx="19">
                  <c:v>0.03362463730609595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Req1!$B$123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Req1!$C$123:$V$123</c:f>
              <c:numCache>
                <c:ptCount val="20"/>
                <c:pt idx="0">
                  <c:v>0.0015289994374486084</c:v>
                </c:pt>
                <c:pt idx="1">
                  <c:v>0.0014947100089773848</c:v>
                </c:pt>
                <c:pt idx="2">
                  <c:v>0.0014826215909033483</c:v>
                </c:pt>
                <c:pt idx="3">
                  <c:v>0.0014709947584381823</c:v>
                </c:pt>
                <c:pt idx="4">
                  <c:v>0.0014708290341860478</c:v>
                </c:pt>
                <c:pt idx="5">
                  <c:v>0.001442095353294336</c:v>
                </c:pt>
                <c:pt idx="6">
                  <c:v>0.0014203096011319019</c:v>
                </c:pt>
                <c:pt idx="7">
                  <c:v>0.0013841132755423665</c:v>
                </c:pt>
                <c:pt idx="8">
                  <c:v>0.0013734550169486168</c:v>
                </c:pt>
                <c:pt idx="9">
                  <c:v>0.0013629503016010483</c:v>
                </c:pt>
                <c:pt idx="10">
                  <c:v>0.0013541819577208745</c:v>
                </c:pt>
                <c:pt idx="11">
                  <c:v>0.0013515019336235656</c:v>
                </c:pt>
                <c:pt idx="12">
                  <c:v>0.0013287752221644723</c:v>
                </c:pt>
                <c:pt idx="13">
                  <c:v>0.0013298550890322482</c:v>
                </c:pt>
                <c:pt idx="14">
                  <c:v>0.0012996187306563742</c:v>
                </c:pt>
                <c:pt idx="15">
                  <c:v>0.0012787771801598252</c:v>
                </c:pt>
                <c:pt idx="16">
                  <c:v>0.0012743455123361803</c:v>
                </c:pt>
                <c:pt idx="17">
                  <c:v>0.001248424146154108</c:v>
                </c:pt>
                <c:pt idx="18">
                  <c:v>0.0012109130887305345</c:v>
                </c:pt>
                <c:pt idx="19">
                  <c:v>0.001219795971995577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Req1!$B$124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Req1!$C$124:$V$124</c:f>
              <c:numCache>
                <c:ptCount val="20"/>
                <c:pt idx="0">
                  <c:v>0.08590625826787598</c:v>
                </c:pt>
                <c:pt idx="1">
                  <c:v>0.08505837226733648</c:v>
                </c:pt>
                <c:pt idx="2">
                  <c:v>0.08418461607329056</c:v>
                </c:pt>
                <c:pt idx="3">
                  <c:v>0.08347756488515234</c:v>
                </c:pt>
                <c:pt idx="4">
                  <c:v>0.08298624043019033</c:v>
                </c:pt>
                <c:pt idx="5">
                  <c:v>0.08238346391143886</c:v>
                </c:pt>
                <c:pt idx="6">
                  <c:v>0.08166856547094963</c:v>
                </c:pt>
                <c:pt idx="7">
                  <c:v>0.0811086078317934</c:v>
                </c:pt>
                <c:pt idx="8">
                  <c:v>0.08050325821849173</c:v>
                </c:pt>
                <c:pt idx="9">
                  <c:v>0.07992372983181888</c:v>
                </c:pt>
                <c:pt idx="10">
                  <c:v>0.07932777203965352</c:v>
                </c:pt>
                <c:pt idx="11">
                  <c:v>0.07863804311461758</c:v>
                </c:pt>
                <c:pt idx="12">
                  <c:v>0.07734297557236242</c:v>
                </c:pt>
                <c:pt idx="13">
                  <c:v>0.07601413390381678</c:v>
                </c:pt>
                <c:pt idx="14">
                  <c:v>0.07467610454123752</c:v>
                </c:pt>
                <c:pt idx="15">
                  <c:v>0.07334711731996388</c:v>
                </c:pt>
                <c:pt idx="16">
                  <c:v>0.07153065142849423</c:v>
                </c:pt>
                <c:pt idx="17">
                  <c:v>0.06977856774190175</c:v>
                </c:pt>
                <c:pt idx="18">
                  <c:v>0.06803793187465665</c:v>
                </c:pt>
                <c:pt idx="19">
                  <c:v>0.06630049635067407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Req1!$B$125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Req1!$C$125:$V$125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6.260878128349032E-05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Req1!$B$127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Req1!$C$127:$V$127</c:f>
              <c:numCache>
                <c:ptCount val="20"/>
                <c:pt idx="0">
                  <c:v>0.48602750058045757</c:v>
                </c:pt>
                <c:pt idx="1">
                  <c:v>0.4800981527475654</c:v>
                </c:pt>
                <c:pt idx="2">
                  <c:v>0.473670175413421</c:v>
                </c:pt>
                <c:pt idx="3">
                  <c:v>0.46737126189725375</c:v>
                </c:pt>
                <c:pt idx="4">
                  <c:v>0.4611713731841411</c:v>
                </c:pt>
                <c:pt idx="5">
                  <c:v>0.4547088623105684</c:v>
                </c:pt>
                <c:pt idx="6">
                  <c:v>0.4473361772275283</c:v>
                </c:pt>
                <c:pt idx="7">
                  <c:v>0.44063370131229673</c:v>
                </c:pt>
                <c:pt idx="8">
                  <c:v>0.43417810565337767</c:v>
                </c:pt>
                <c:pt idx="9">
                  <c:v>0.42687409849322955</c:v>
                </c:pt>
                <c:pt idx="10">
                  <c:v>0.42026929498021515</c:v>
                </c:pt>
                <c:pt idx="11">
                  <c:v>0.41319390914722776</c:v>
                </c:pt>
                <c:pt idx="12">
                  <c:v>0.40724132725546075</c:v>
                </c:pt>
                <c:pt idx="13">
                  <c:v>0.40062970720457647</c:v>
                </c:pt>
                <c:pt idx="14">
                  <c:v>0.39361610695373744</c:v>
                </c:pt>
                <c:pt idx="15">
                  <c:v>0.3861687623325589</c:v>
                </c:pt>
                <c:pt idx="16">
                  <c:v>0.3780253854923697</c:v>
                </c:pt>
                <c:pt idx="17">
                  <c:v>0.369732989371329</c:v>
                </c:pt>
                <c:pt idx="18">
                  <c:v>0.3630372770518292</c:v>
                </c:pt>
                <c:pt idx="19">
                  <c:v>0.3552488959995637</c:v>
                </c:pt>
              </c:numCache>
            </c:numRef>
          </c:val>
          <c:smooth val="0"/>
        </c:ser>
        <c:marker val="1"/>
        <c:axId val="37242562"/>
        <c:axId val="66747603"/>
      </c:lineChart>
      <c:dateAx>
        <c:axId val="37242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auto val="0"/>
        <c:noMultiLvlLbl val="0"/>
      </c:dateAx>
      <c:valAx>
        <c:axId val="66747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cumulé annuel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2425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50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% Patients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- 1943 médecins non visités au 16/01/07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75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Req2!$B$115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Req2!$C$115:$AG$115</c:f>
              <c:numCache>
                <c:ptCount val="31"/>
                <c:pt idx="0">
                  <c:v>0.19313131313131313</c:v>
                </c:pt>
                <c:pt idx="1">
                  <c:v>0.1933572794700751</c:v>
                </c:pt>
                <c:pt idx="2">
                  <c:v>0.1905398182789952</c:v>
                </c:pt>
                <c:pt idx="3">
                  <c:v>0.18925191930012497</c:v>
                </c:pt>
                <c:pt idx="4">
                  <c:v>0.18754304407713498</c:v>
                </c:pt>
                <c:pt idx="5">
                  <c:v>0.18676132981889296</c:v>
                </c:pt>
                <c:pt idx="6">
                  <c:v>0.18646293945098727</c:v>
                </c:pt>
                <c:pt idx="7">
                  <c:v>0.18377167905469793</c:v>
                </c:pt>
                <c:pt idx="8">
                  <c:v>0.17997564711889705</c:v>
                </c:pt>
                <c:pt idx="9">
                  <c:v>0.17723009631156159</c:v>
                </c:pt>
                <c:pt idx="10">
                  <c:v>0.18123016841591408</c:v>
                </c:pt>
                <c:pt idx="11">
                  <c:v>0.18075609856431774</c:v>
                </c:pt>
                <c:pt idx="12">
                  <c:v>0.18018207873219252</c:v>
                </c:pt>
                <c:pt idx="13">
                  <c:v>0.18162384205893448</c:v>
                </c:pt>
                <c:pt idx="14">
                  <c:v>0.17954945146972615</c:v>
                </c:pt>
                <c:pt idx="15">
                  <c:v>0.1789307391702004</c:v>
                </c:pt>
                <c:pt idx="16">
                  <c:v>0.17906493294745854</c:v>
                </c:pt>
                <c:pt idx="17">
                  <c:v>0.17708788806296458</c:v>
                </c:pt>
                <c:pt idx="18">
                  <c:v>0.1779494726514594</c:v>
                </c:pt>
                <c:pt idx="19">
                  <c:v>0.1752031519330214</c:v>
                </c:pt>
                <c:pt idx="20">
                  <c:v>0.17309241569800898</c:v>
                </c:pt>
                <c:pt idx="21">
                  <c:v>0.16763963068769924</c:v>
                </c:pt>
                <c:pt idx="22">
                  <c:v>0.16843910806174958</c:v>
                </c:pt>
                <c:pt idx="23">
                  <c:v>0.16715486009404146</c:v>
                </c:pt>
                <c:pt idx="24">
                  <c:v>0.16232520974830203</c:v>
                </c:pt>
                <c:pt idx="25">
                  <c:v>0.1632613273025033</c:v>
                </c:pt>
                <c:pt idx="26">
                  <c:v>0.16244751049790043</c:v>
                </c:pt>
                <c:pt idx="27">
                  <c:v>0.15843811068913388</c:v>
                </c:pt>
                <c:pt idx="28">
                  <c:v>0.1554538291246107</c:v>
                </c:pt>
                <c:pt idx="29">
                  <c:v>0.15556245392107407</c:v>
                </c:pt>
                <c:pt idx="30">
                  <c:v>0.15271914576607898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Req2!$C$116:$AG$116</c:f>
              <c:numCache>
                <c:ptCount val="31"/>
                <c:pt idx="0">
                  <c:v>0.25696969696969696</c:v>
                </c:pt>
                <c:pt idx="1">
                  <c:v>0.2562392125763866</c:v>
                </c:pt>
                <c:pt idx="2">
                  <c:v>0.2557455905932656</c:v>
                </c:pt>
                <c:pt idx="3">
                  <c:v>0.2534815211569363</c:v>
                </c:pt>
                <c:pt idx="4">
                  <c:v>0.2503443526170799</c:v>
                </c:pt>
                <c:pt idx="5">
                  <c:v>0.25040387722132473</c:v>
                </c:pt>
                <c:pt idx="6">
                  <c:v>0.24806269427783373</c:v>
                </c:pt>
                <c:pt idx="7">
                  <c:v>0.24876119687440443</c:v>
                </c:pt>
                <c:pt idx="8">
                  <c:v>0.24074001335480577</c:v>
                </c:pt>
                <c:pt idx="9">
                  <c:v>0.24157799554191026</c:v>
                </c:pt>
                <c:pt idx="10">
                  <c:v>0.23777560816857862</c:v>
                </c:pt>
                <c:pt idx="11">
                  <c:v>0.23386400098728866</c:v>
                </c:pt>
                <c:pt idx="12">
                  <c:v>0.2329933406389615</c:v>
                </c:pt>
                <c:pt idx="13">
                  <c:v>0.22966005784465776</c:v>
                </c:pt>
                <c:pt idx="14">
                  <c:v>0.22900092119587975</c:v>
                </c:pt>
                <c:pt idx="15">
                  <c:v>0.22445331337823232</c:v>
                </c:pt>
                <c:pt idx="16">
                  <c:v>0.22149757469530837</c:v>
                </c:pt>
                <c:pt idx="17">
                  <c:v>0.21727550979846563</c:v>
                </c:pt>
                <c:pt idx="18">
                  <c:v>0.2172348949390892</c:v>
                </c:pt>
                <c:pt idx="19">
                  <c:v>0.21423294754986458</c:v>
                </c:pt>
                <c:pt idx="20">
                  <c:v>0.20773391644608125</c:v>
                </c:pt>
                <c:pt idx="21">
                  <c:v>0.20900095226265888</c:v>
                </c:pt>
                <c:pt idx="22">
                  <c:v>0.2050314465408805</c:v>
                </c:pt>
                <c:pt idx="23">
                  <c:v>0.20095583134201803</c:v>
                </c:pt>
                <c:pt idx="24">
                  <c:v>0.19960047942469036</c:v>
                </c:pt>
                <c:pt idx="25">
                  <c:v>0.20026514856117913</c:v>
                </c:pt>
                <c:pt idx="26">
                  <c:v>0.1921615676864627</c:v>
                </c:pt>
                <c:pt idx="27">
                  <c:v>0.1905165738726448</c:v>
                </c:pt>
                <c:pt idx="28">
                  <c:v>0.18869836028666842</c:v>
                </c:pt>
                <c:pt idx="29">
                  <c:v>0.18427690039191338</c:v>
                </c:pt>
                <c:pt idx="30">
                  <c:v>0.18429174500691758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Req2!$C$117:$AG$117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0.0014645802821244122</c:v>
                </c:pt>
                <c:pt idx="24">
                  <c:v>0.003355972832600879</c:v>
                </c:pt>
                <c:pt idx="25">
                  <c:v>0.0039772284176869685</c:v>
                </c:pt>
                <c:pt idx="26">
                  <c:v>0.005238952209558089</c:v>
                </c:pt>
                <c:pt idx="27">
                  <c:v>0.007927436303971093</c:v>
                </c:pt>
                <c:pt idx="28">
                  <c:v>0.008892724475629433</c:v>
                </c:pt>
                <c:pt idx="29">
                  <c:v>0.01020526948896046</c:v>
                </c:pt>
                <c:pt idx="30">
                  <c:v>0.009897477739543794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Req2!$B$118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Req2!$C$118:$AG$118</c:f>
              <c:numCache>
                <c:ptCount val="31"/>
                <c:pt idx="0">
                  <c:v>0.06388327721661055</c:v>
                </c:pt>
                <c:pt idx="1">
                  <c:v>0.06409478938284274</c:v>
                </c:pt>
                <c:pt idx="2">
                  <c:v>0.06511669339034384</c:v>
                </c:pt>
                <c:pt idx="3">
                  <c:v>0.06494376004284949</c:v>
                </c:pt>
                <c:pt idx="4">
                  <c:v>0.06585743801652892</c:v>
                </c:pt>
                <c:pt idx="5">
                  <c:v>0.0644503018450812</c:v>
                </c:pt>
                <c:pt idx="6">
                  <c:v>0.06514600936911694</c:v>
                </c:pt>
                <c:pt idx="7">
                  <c:v>0.0651324566418906</c:v>
                </c:pt>
                <c:pt idx="8">
                  <c:v>0.06492792332770336</c:v>
                </c:pt>
                <c:pt idx="9">
                  <c:v>0.0642217268789166</c:v>
                </c:pt>
                <c:pt idx="10">
                  <c:v>0.06407127166219184</c:v>
                </c:pt>
                <c:pt idx="11">
                  <c:v>0.06446172199596857</c:v>
                </c:pt>
                <c:pt idx="12">
                  <c:v>0.0636432605580376</c:v>
                </c:pt>
                <c:pt idx="13">
                  <c:v>0.06283271157312319</c:v>
                </c:pt>
                <c:pt idx="14">
                  <c:v>0.06326940792228457</c:v>
                </c:pt>
                <c:pt idx="15">
                  <c:v>0.06364845763698346</c:v>
                </c:pt>
                <c:pt idx="16">
                  <c:v>0.06220193209146863</c:v>
                </c:pt>
                <c:pt idx="17">
                  <c:v>0.06248757801009659</c:v>
                </c:pt>
                <c:pt idx="18">
                  <c:v>0.06168751532989943</c:v>
                </c:pt>
                <c:pt idx="19">
                  <c:v>0.06172535500287286</c:v>
                </c:pt>
                <c:pt idx="20">
                  <c:v>0.06168719070088618</c:v>
                </c:pt>
                <c:pt idx="21">
                  <c:v>0.06131743468720242</c:v>
                </c:pt>
                <c:pt idx="22">
                  <c:v>0.05942443300933867</c:v>
                </c:pt>
                <c:pt idx="23">
                  <c:v>0.05919987666692361</c:v>
                </c:pt>
                <c:pt idx="24">
                  <c:v>0.058050339592489016</c:v>
                </c:pt>
                <c:pt idx="25">
                  <c:v>0.05747484987912345</c:v>
                </c:pt>
                <c:pt idx="26">
                  <c:v>0.05786842631473705</c:v>
                </c:pt>
                <c:pt idx="27">
                  <c:v>0.058073079901183586</c:v>
                </c:pt>
                <c:pt idx="28">
                  <c:v>0.057221117406476306</c:v>
                </c:pt>
                <c:pt idx="29">
                  <c:v>0.05572154747584494</c:v>
                </c:pt>
                <c:pt idx="30">
                  <c:v>0.0542410159991486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Req2!$B$119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Req2!$C$119:$AG$119</c:f>
              <c:numCache>
                <c:ptCount val="31"/>
                <c:pt idx="0">
                  <c:v>0.23173961840628507</c:v>
                </c:pt>
                <c:pt idx="1">
                  <c:v>0.23128236227084015</c:v>
                </c:pt>
                <c:pt idx="2">
                  <c:v>0.233787635845359</c:v>
                </c:pt>
                <c:pt idx="3">
                  <c:v>0.23652026423852884</c:v>
                </c:pt>
                <c:pt idx="4">
                  <c:v>0.23682851239669422</c:v>
                </c:pt>
                <c:pt idx="5">
                  <c:v>0.23862766771533034</c:v>
                </c:pt>
                <c:pt idx="6">
                  <c:v>0.24289654568539032</c:v>
                </c:pt>
                <c:pt idx="7">
                  <c:v>0.24204307223175148</c:v>
                </c:pt>
                <c:pt idx="8">
                  <c:v>0.2463961663851683</c:v>
                </c:pt>
                <c:pt idx="9">
                  <c:v>0.2478445556630357</c:v>
                </c:pt>
                <c:pt idx="10">
                  <c:v>0.24485395818078268</c:v>
                </c:pt>
                <c:pt idx="11">
                  <c:v>0.2451766835328479</c:v>
                </c:pt>
                <c:pt idx="12">
                  <c:v>0.245721992750569</c:v>
                </c:pt>
                <c:pt idx="13">
                  <c:v>0.24583979544787693</c:v>
                </c:pt>
                <c:pt idx="14">
                  <c:v>0.24641989783100243</c:v>
                </c:pt>
                <c:pt idx="15">
                  <c:v>0.24594662010476429</c:v>
                </c:pt>
                <c:pt idx="16">
                  <c:v>0.25227244935393145</c:v>
                </c:pt>
                <c:pt idx="17">
                  <c:v>0.2538855984417856</c:v>
                </c:pt>
                <c:pt idx="18">
                  <c:v>0.2545989698307579</c:v>
                </c:pt>
                <c:pt idx="19">
                  <c:v>0.25437084461955184</c:v>
                </c:pt>
                <c:pt idx="20">
                  <c:v>0.2520811754325392</c:v>
                </c:pt>
                <c:pt idx="21">
                  <c:v>0.25363308905725995</c:v>
                </c:pt>
                <c:pt idx="22">
                  <c:v>0.253135124833238</c:v>
                </c:pt>
                <c:pt idx="23">
                  <c:v>0.25144530948893856</c:v>
                </c:pt>
                <c:pt idx="24">
                  <c:v>0.25241709948062324</c:v>
                </c:pt>
                <c:pt idx="25">
                  <c:v>0.24986352647586368</c:v>
                </c:pt>
                <c:pt idx="26">
                  <c:v>0.25166966606678665</c:v>
                </c:pt>
                <c:pt idx="27">
                  <c:v>0.248737140960879</c:v>
                </c:pt>
                <c:pt idx="28">
                  <c:v>0.24967168211324153</c:v>
                </c:pt>
                <c:pt idx="29">
                  <c:v>0.2525319157192193</c:v>
                </c:pt>
                <c:pt idx="30">
                  <c:v>0.2512682251942247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Req2!$B$120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Req2!$C$120:$AG$120</c:f>
              <c:numCache>
                <c:ptCount val="31"/>
                <c:pt idx="0">
                  <c:v>0.026891133557800224</c:v>
                </c:pt>
                <c:pt idx="1">
                  <c:v>0.02775574940523394</c:v>
                </c:pt>
                <c:pt idx="2">
                  <c:v>0.03015321574915375</c:v>
                </c:pt>
                <c:pt idx="3">
                  <c:v>0.033431530083913585</c:v>
                </c:pt>
                <c:pt idx="4">
                  <c:v>0.0377926997245179</c:v>
                </c:pt>
                <c:pt idx="5">
                  <c:v>0.03792194541280503</c:v>
                </c:pt>
                <c:pt idx="6">
                  <c:v>0.040366008493498536</c:v>
                </c:pt>
                <c:pt idx="7">
                  <c:v>0.04035639412997904</c:v>
                </c:pt>
                <c:pt idx="8">
                  <c:v>0.042264032365764564</c:v>
                </c:pt>
                <c:pt idx="9">
                  <c:v>0.04331917399167262</c:v>
                </c:pt>
                <c:pt idx="10">
                  <c:v>0.04523635180213164</c:v>
                </c:pt>
                <c:pt idx="11">
                  <c:v>0.04603233370356658</c:v>
                </c:pt>
                <c:pt idx="12">
                  <c:v>0.04669982297901037</c:v>
                </c:pt>
                <c:pt idx="13">
                  <c:v>0.04786855011107851</c:v>
                </c:pt>
                <c:pt idx="14">
                  <c:v>0.04811154844652877</c:v>
                </c:pt>
                <c:pt idx="15">
                  <c:v>0.04851583936143677</c:v>
                </c:pt>
                <c:pt idx="16">
                  <c:v>0.05009578934496393</c:v>
                </c:pt>
                <c:pt idx="17">
                  <c:v>0.052231983145844096</c:v>
                </c:pt>
                <c:pt idx="18">
                  <c:v>0.0533071703049628</c:v>
                </c:pt>
                <c:pt idx="19">
                  <c:v>0.0611507838791759</c:v>
                </c:pt>
                <c:pt idx="20">
                  <c:v>0.06916791345379215</c:v>
                </c:pt>
                <c:pt idx="21">
                  <c:v>0.07357264107978305</c:v>
                </c:pt>
                <c:pt idx="22">
                  <c:v>0.07813988946064418</c:v>
                </c:pt>
                <c:pt idx="23">
                  <c:v>0.08629461188622524</c:v>
                </c:pt>
                <c:pt idx="24">
                  <c:v>0.09168997203355973</c:v>
                </c:pt>
                <c:pt idx="25">
                  <c:v>0.09163222334867036</c:v>
                </c:pt>
                <c:pt idx="26">
                  <c:v>0.0981003799240152</c:v>
                </c:pt>
                <c:pt idx="27">
                  <c:v>0.10394159507392796</c:v>
                </c:pt>
                <c:pt idx="28">
                  <c:v>0.10772578890097932</c:v>
                </c:pt>
                <c:pt idx="29">
                  <c:v>0.11307283380544023</c:v>
                </c:pt>
                <c:pt idx="30">
                  <c:v>0.11476107701585725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Req2!$B$121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Req2!$C$121:$AG$121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0.0018825795718225998</c:v>
                </c:pt>
                <c:pt idx="7">
                  <c:v>0.006622832094530208</c:v>
                </c:pt>
                <c:pt idx="8">
                  <c:v>0.012412113594406693</c:v>
                </c:pt>
                <c:pt idx="9">
                  <c:v>0.017874416452874627</c:v>
                </c:pt>
                <c:pt idx="10">
                  <c:v>0.021438450899031812</c:v>
                </c:pt>
                <c:pt idx="11">
                  <c:v>0.023242420502694476</c:v>
                </c:pt>
                <c:pt idx="12">
                  <c:v>0.02427716429233752</c:v>
                </c:pt>
                <c:pt idx="13">
                  <c:v>0.025275600452697323</c:v>
                </c:pt>
                <c:pt idx="14">
                  <c:v>0.027635876392261956</c:v>
                </c:pt>
                <c:pt idx="15">
                  <c:v>0.028519165211607217</c:v>
                </c:pt>
                <c:pt idx="16">
                  <c:v>0.029959646190844985</c:v>
                </c:pt>
                <c:pt idx="17">
                  <c:v>0.03187979488810271</c:v>
                </c:pt>
                <c:pt idx="18">
                  <c:v>0.03327610170877279</c:v>
                </c:pt>
                <c:pt idx="19">
                  <c:v>0.03262743166707707</c:v>
                </c:pt>
                <c:pt idx="20">
                  <c:v>0.033413894962980015</c:v>
                </c:pt>
                <c:pt idx="21">
                  <c:v>0.0342400529954871</c:v>
                </c:pt>
                <c:pt idx="22">
                  <c:v>0.033009338669716025</c:v>
                </c:pt>
                <c:pt idx="23">
                  <c:v>0.03268326524319741</c:v>
                </c:pt>
                <c:pt idx="24">
                  <c:v>0.03212145425489413</c:v>
                </c:pt>
                <c:pt idx="25">
                  <c:v>0.03302659284098885</c:v>
                </c:pt>
                <c:pt idx="26">
                  <c:v>0.033153369326134774</c:v>
                </c:pt>
                <c:pt idx="27">
                  <c:v>0.03384830942811843</c:v>
                </c:pt>
                <c:pt idx="28">
                  <c:v>0.03482045701849837</c:v>
                </c:pt>
                <c:pt idx="29">
                  <c:v>0.035078188661673976</c:v>
                </c:pt>
                <c:pt idx="30">
                  <c:v>0.0355812550995069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Req2!$B$122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Req2!$C$122:$AG$122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0.0005314365137764696</c:v>
                </c:pt>
                <c:pt idx="19">
                  <c:v>0.0032832635639825987</c:v>
                </c:pt>
                <c:pt idx="20">
                  <c:v>0.005294049948210381</c:v>
                </c:pt>
                <c:pt idx="21">
                  <c:v>0.0069556576822754936</c:v>
                </c:pt>
                <c:pt idx="22">
                  <c:v>0.008195159138555366</c:v>
                </c:pt>
                <c:pt idx="23">
                  <c:v>0.010097895629384105</c:v>
                </c:pt>
                <c:pt idx="24">
                  <c:v>0.011186576108669596</c:v>
                </c:pt>
                <c:pt idx="25">
                  <c:v>0.0123216096077361</c:v>
                </c:pt>
                <c:pt idx="26">
                  <c:v>0.013717256548690262</c:v>
                </c:pt>
                <c:pt idx="27">
                  <c:v>0.015670513624128905</c:v>
                </c:pt>
                <c:pt idx="28">
                  <c:v>0.01729766237664628</c:v>
                </c:pt>
                <c:pt idx="29">
                  <c:v>0.018392767063753833</c:v>
                </c:pt>
                <c:pt idx="30">
                  <c:v>0.020433502430025896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Req2!$B$123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Req2!$C$123:$AG$123</c:f>
              <c:numCache>
                <c:ptCount val="31"/>
                <c:pt idx="0">
                  <c:v>0.0033221099887766553</c:v>
                </c:pt>
                <c:pt idx="1">
                  <c:v>0.0031254373279843263</c:v>
                </c:pt>
                <c:pt idx="2">
                  <c:v>0.003162301799394263</c:v>
                </c:pt>
                <c:pt idx="3">
                  <c:v>0.0033476164970540974</c:v>
                </c:pt>
                <c:pt idx="4">
                  <c:v>0.0035296143250688706</c:v>
                </c:pt>
                <c:pt idx="5">
                  <c:v>0.0034435847291896947</c:v>
                </c:pt>
                <c:pt idx="6">
                  <c:v>0.003239788100345869</c:v>
                </c:pt>
                <c:pt idx="7">
                  <c:v>0.0030493615399275775</c:v>
                </c:pt>
                <c:pt idx="8">
                  <c:v>0.0029066341961585295</c:v>
                </c:pt>
                <c:pt idx="9">
                  <c:v>0.002691676830550532</c:v>
                </c:pt>
                <c:pt idx="10">
                  <c:v>0.0030103327638109187</c:v>
                </c:pt>
                <c:pt idx="11">
                  <c:v>0.0026739067834958244</c:v>
                </c:pt>
                <c:pt idx="12">
                  <c:v>0.0025710191351260223</c:v>
                </c:pt>
                <c:pt idx="13">
                  <c:v>0.0029760657249444608</c:v>
                </c:pt>
                <c:pt idx="14">
                  <c:v>0.002847332719202747</c:v>
                </c:pt>
                <c:pt idx="15">
                  <c:v>0.003201130789057953</c:v>
                </c:pt>
                <c:pt idx="16">
                  <c:v>0.0029348224840011414</c:v>
                </c:pt>
                <c:pt idx="17">
                  <c:v>0.0030210279445084865</c:v>
                </c:pt>
                <c:pt idx="18">
                  <c:v>0.0025754231052244297</c:v>
                </c:pt>
                <c:pt idx="19">
                  <c:v>0.0029138964130345562</c:v>
                </c:pt>
                <c:pt idx="20">
                  <c:v>0.0024552115701845247</c:v>
                </c:pt>
                <c:pt idx="21">
                  <c:v>0.0024013580093570157</c:v>
                </c:pt>
                <c:pt idx="22">
                  <c:v>0.0025538402896893462</c:v>
                </c:pt>
                <c:pt idx="23">
                  <c:v>0.002505203114160179</c:v>
                </c:pt>
                <c:pt idx="24">
                  <c:v>0.0025968837395125848</c:v>
                </c:pt>
                <c:pt idx="25">
                  <c:v>0.002183576386181081</c:v>
                </c:pt>
                <c:pt idx="26">
                  <c:v>0.0023195360927814436</c:v>
                </c:pt>
                <c:pt idx="27">
                  <c:v>0.0029497437410124995</c:v>
                </c:pt>
                <c:pt idx="28">
                  <c:v>0.0022513226520580842</c:v>
                </c:pt>
                <c:pt idx="29">
                  <c:v>0.0021341818322921113</c:v>
                </c:pt>
                <c:pt idx="30">
                  <c:v>0.0024122884813225017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Req2!$B$124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Req2!$C$124:$AG$124</c:f>
              <c:numCache>
                <c:ptCount val="31"/>
                <c:pt idx="0">
                  <c:v>0.2240628507295174</c:v>
                </c:pt>
                <c:pt idx="1">
                  <c:v>0.22414516956663713</c:v>
                </c:pt>
                <c:pt idx="2">
                  <c:v>0.22149474434348834</c:v>
                </c:pt>
                <c:pt idx="3">
                  <c:v>0.21902338868059276</c:v>
                </c:pt>
                <c:pt idx="4">
                  <c:v>0.2181043388429752</c:v>
                </c:pt>
                <c:pt idx="5">
                  <c:v>0.21839129325737608</c:v>
                </c:pt>
                <c:pt idx="6">
                  <c:v>0.21194343505100477</c:v>
                </c:pt>
                <c:pt idx="7">
                  <c:v>0.21026300743281875</c:v>
                </c:pt>
                <c:pt idx="8">
                  <c:v>0.21037746965709572</c:v>
                </c:pt>
                <c:pt idx="9">
                  <c:v>0.20524035832947807</c:v>
                </c:pt>
                <c:pt idx="10">
                  <c:v>0.20238385810755838</c:v>
                </c:pt>
                <c:pt idx="11">
                  <c:v>0.20379283392982023</c:v>
                </c:pt>
                <c:pt idx="12">
                  <c:v>0.2039113209137655</c:v>
                </c:pt>
                <c:pt idx="13">
                  <c:v>0.20392337678668734</c:v>
                </c:pt>
                <c:pt idx="14">
                  <c:v>0.20316556402311364</c:v>
                </c:pt>
                <c:pt idx="15">
                  <c:v>0.20678473434771763</c:v>
                </c:pt>
                <c:pt idx="16">
                  <c:v>0.201972852892023</c:v>
                </c:pt>
                <c:pt idx="17">
                  <c:v>0.2021306197082323</c:v>
                </c:pt>
                <c:pt idx="18">
                  <c:v>0.19883901561605755</c:v>
                </c:pt>
                <c:pt idx="19">
                  <c:v>0.1944923253714192</c:v>
                </c:pt>
                <c:pt idx="20">
                  <c:v>0.1950742317873173</c:v>
                </c:pt>
                <c:pt idx="21">
                  <c:v>0.19123918353827682</c:v>
                </c:pt>
                <c:pt idx="22">
                  <c:v>0.1920716599961883</c:v>
                </c:pt>
                <c:pt idx="23">
                  <c:v>0.18819856625298698</c:v>
                </c:pt>
                <c:pt idx="24">
                  <c:v>0.1866560127846584</c:v>
                </c:pt>
                <c:pt idx="25">
                  <c:v>0.18599391718006705</c:v>
                </c:pt>
                <c:pt idx="26">
                  <c:v>0.1833233353329334</c:v>
                </c:pt>
                <c:pt idx="27">
                  <c:v>0.17989749640499983</c:v>
                </c:pt>
                <c:pt idx="28">
                  <c:v>0.17796705564519155</c:v>
                </c:pt>
                <c:pt idx="29">
                  <c:v>0.1730239416398277</c:v>
                </c:pt>
                <c:pt idx="30">
                  <c:v>0.17386214480825854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Req2!$B$125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Req2!$C$125:$AG$125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0.0005321224591152577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Req2!$B$127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Req2!$C$127:$AG$127</c:f>
              <c:numCache>
                <c:ptCount val="31"/>
                <c:pt idx="0">
                  <c:v>0.4501010101010101</c:v>
                </c:pt>
                <c:pt idx="1">
                  <c:v>0.44959649204646174</c:v>
                </c:pt>
                <c:pt idx="2">
                  <c:v>0.4462854088722608</c:v>
                </c:pt>
                <c:pt idx="3">
                  <c:v>0.44273344045706126</c:v>
                </c:pt>
                <c:pt idx="4">
                  <c:v>0.4378873966942149</c:v>
                </c:pt>
                <c:pt idx="5">
                  <c:v>0.43716520704021766</c:v>
                </c:pt>
                <c:pt idx="6">
                  <c:v>0.43452563372882097</c:v>
                </c:pt>
                <c:pt idx="7">
                  <c:v>0.43253287592910233</c:v>
                </c:pt>
                <c:pt idx="8">
                  <c:v>0.4207156604737028</c:v>
                </c:pt>
                <c:pt idx="9">
                  <c:v>0.41880809185347184</c:v>
                </c:pt>
                <c:pt idx="10">
                  <c:v>0.41900577658449273</c:v>
                </c:pt>
                <c:pt idx="11">
                  <c:v>0.4146200995516064</c:v>
                </c:pt>
                <c:pt idx="12">
                  <c:v>0.413175419371154</c:v>
                </c:pt>
                <c:pt idx="13">
                  <c:v>0.4112838999035922</c:v>
                </c:pt>
                <c:pt idx="14">
                  <c:v>0.4085503726656059</c:v>
                </c:pt>
                <c:pt idx="15">
                  <c:v>0.4033840525484327</c:v>
                </c:pt>
                <c:pt idx="16">
                  <c:v>0.4005625076427669</c:v>
                </c:pt>
                <c:pt idx="17">
                  <c:v>0.3943633978614302</c:v>
                </c:pt>
                <c:pt idx="18">
                  <c:v>0.3951843675905486</c:v>
                </c:pt>
                <c:pt idx="19">
                  <c:v>0.389436099482886</c:v>
                </c:pt>
                <c:pt idx="20">
                  <c:v>0.38082633214409023</c:v>
                </c:pt>
                <c:pt idx="21">
                  <c:v>0.3766405829503581</c:v>
                </c:pt>
                <c:pt idx="22">
                  <c:v>0.37347055460263007</c:v>
                </c:pt>
                <c:pt idx="23">
                  <c:v>0.36957527171818394</c:v>
                </c:pt>
                <c:pt idx="24">
                  <c:v>0.3652816620055933</c:v>
                </c:pt>
                <c:pt idx="25">
                  <c:v>0.3675037042813694</c:v>
                </c:pt>
                <c:pt idx="26">
                  <c:v>0.3598480303939212</c:v>
                </c:pt>
                <c:pt idx="27">
                  <c:v>0.3568821208657498</c:v>
                </c:pt>
                <c:pt idx="28">
                  <c:v>0.35304491388690856</c:v>
                </c:pt>
                <c:pt idx="29">
                  <c:v>0.35004462380194795</c:v>
                </c:pt>
                <c:pt idx="30">
                  <c:v>0.34690836851254037</c:v>
                </c:pt>
              </c:numCache>
            </c:numRef>
          </c:val>
          <c:smooth val="0"/>
        </c:ser>
        <c:marker val="1"/>
        <c:axId val="63857516"/>
        <c:axId val="37846733"/>
      </c:lineChart>
      <c:dateAx>
        <c:axId val="6385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46733"/>
        <c:crosses val="autoZero"/>
        <c:auto val="0"/>
        <c:noMultiLvlLbl val="0"/>
      </c:dateAx>
      <c:valAx>
        <c:axId val="3784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Patients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8575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45825"/>
          <c:w val="0.18325"/>
          <c:h val="0.39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Nombres de patients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- 1943 médecins non visités au 16/01/07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35"/>
          <c:w val="0.75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Req2!$B$97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Req2!$C$97:$AG$97</c:f>
              <c:numCache>
                <c:ptCount val="31"/>
                <c:pt idx="0">
                  <c:v>4324</c:v>
                </c:pt>
                <c:pt idx="1">
                  <c:v>4173</c:v>
                </c:pt>
                <c:pt idx="2">
                  <c:v>4305</c:v>
                </c:pt>
                <c:pt idx="3">
                  <c:v>4267</c:v>
                </c:pt>
                <c:pt idx="4">
                  <c:v>4376</c:v>
                </c:pt>
                <c:pt idx="5">
                  <c:v>4414</c:v>
                </c:pt>
                <c:pt idx="6">
                  <c:v>4281</c:v>
                </c:pt>
                <c:pt idx="7">
                  <c:v>3879</c:v>
                </c:pt>
                <c:pt idx="8">
                  <c:v>4611</c:v>
                </c:pt>
                <c:pt idx="9">
                  <c:v>4243</c:v>
                </c:pt>
                <c:pt idx="10">
                  <c:v>4485</c:v>
                </c:pt>
                <c:pt idx="11">
                  <c:v>4426</c:v>
                </c:pt>
                <c:pt idx="12">
                  <c:v>4303</c:v>
                </c:pt>
                <c:pt idx="13">
                  <c:v>4365</c:v>
                </c:pt>
                <c:pt idx="14">
                  <c:v>4315</c:v>
                </c:pt>
                <c:pt idx="15">
                  <c:v>4329</c:v>
                </c:pt>
                <c:pt idx="16">
                  <c:v>4420</c:v>
                </c:pt>
                <c:pt idx="17">
                  <c:v>4485</c:v>
                </c:pt>
                <c:pt idx="18">
                  <c:v>4380</c:v>
                </c:pt>
                <c:pt idx="19">
                  <c:v>4298</c:v>
                </c:pt>
                <c:pt idx="20">
                  <c:v>4538</c:v>
                </c:pt>
                <c:pt idx="21">
                  <c:v>4073</c:v>
                </c:pt>
                <c:pt idx="22">
                  <c:v>4448</c:v>
                </c:pt>
                <c:pt idx="23">
                  <c:v>4365</c:v>
                </c:pt>
                <c:pt idx="24">
                  <c:v>4085</c:v>
                </c:pt>
                <c:pt idx="25">
                  <c:v>4215</c:v>
                </c:pt>
                <c:pt idx="26">
                  <c:v>4091</c:v>
                </c:pt>
                <c:pt idx="27">
                  <c:v>4323</c:v>
                </c:pt>
                <c:pt idx="28">
                  <c:v>4170</c:v>
                </c:pt>
                <c:pt idx="29">
                  <c:v>4030</c:v>
                </c:pt>
                <c:pt idx="30">
                  <c:v>4331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Req2!$C$98:$AG$98</c:f>
              <c:numCache>
                <c:ptCount val="31"/>
                <c:pt idx="0">
                  <c:v>5774</c:v>
                </c:pt>
                <c:pt idx="1">
                  <c:v>5548</c:v>
                </c:pt>
                <c:pt idx="2">
                  <c:v>5788</c:v>
                </c:pt>
                <c:pt idx="3">
                  <c:v>5730</c:v>
                </c:pt>
                <c:pt idx="4">
                  <c:v>5872</c:v>
                </c:pt>
                <c:pt idx="5">
                  <c:v>5950</c:v>
                </c:pt>
                <c:pt idx="6">
                  <c:v>5722</c:v>
                </c:pt>
                <c:pt idx="7">
                  <c:v>5273</c:v>
                </c:pt>
                <c:pt idx="8">
                  <c:v>6191</c:v>
                </c:pt>
                <c:pt idx="9">
                  <c:v>5802</c:v>
                </c:pt>
                <c:pt idx="10">
                  <c:v>5894</c:v>
                </c:pt>
                <c:pt idx="11">
                  <c:v>5738</c:v>
                </c:pt>
                <c:pt idx="12">
                  <c:v>5574</c:v>
                </c:pt>
                <c:pt idx="13">
                  <c:v>5530</c:v>
                </c:pt>
                <c:pt idx="14">
                  <c:v>5521</c:v>
                </c:pt>
                <c:pt idx="15">
                  <c:v>5454</c:v>
                </c:pt>
                <c:pt idx="16">
                  <c:v>5481</c:v>
                </c:pt>
                <c:pt idx="17">
                  <c:v>5526</c:v>
                </c:pt>
                <c:pt idx="18">
                  <c:v>5369</c:v>
                </c:pt>
                <c:pt idx="19">
                  <c:v>5271</c:v>
                </c:pt>
                <c:pt idx="20">
                  <c:v>5480</c:v>
                </c:pt>
                <c:pt idx="21">
                  <c:v>5103</c:v>
                </c:pt>
                <c:pt idx="22">
                  <c:v>5448</c:v>
                </c:pt>
                <c:pt idx="23">
                  <c:v>5270</c:v>
                </c:pt>
                <c:pt idx="24">
                  <c:v>5048</c:v>
                </c:pt>
                <c:pt idx="25">
                  <c:v>5199</c:v>
                </c:pt>
                <c:pt idx="26">
                  <c:v>4856</c:v>
                </c:pt>
                <c:pt idx="27">
                  <c:v>5226</c:v>
                </c:pt>
                <c:pt idx="28">
                  <c:v>5086</c:v>
                </c:pt>
                <c:pt idx="29">
                  <c:v>4803</c:v>
                </c:pt>
                <c:pt idx="30">
                  <c:v>5256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Req2!$C$99:$AG$99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38</c:v>
                </c:pt>
                <c:pt idx="24">
                  <c:v>84</c:v>
                </c:pt>
                <c:pt idx="25">
                  <c:v>102</c:v>
                </c:pt>
                <c:pt idx="26">
                  <c:v>131</c:v>
                </c:pt>
                <c:pt idx="27">
                  <c:v>215</c:v>
                </c:pt>
                <c:pt idx="28">
                  <c:v>237</c:v>
                </c:pt>
                <c:pt idx="29">
                  <c:v>263</c:v>
                </c:pt>
                <c:pt idx="30">
                  <c:v>279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Req2!$B$100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Req2!$C$100:$AG$100</c:f>
              <c:numCache>
                <c:ptCount val="31"/>
                <c:pt idx="0">
                  <c:v>1430</c:v>
                </c:pt>
                <c:pt idx="1">
                  <c:v>1384</c:v>
                </c:pt>
                <c:pt idx="2">
                  <c:v>1470</c:v>
                </c:pt>
                <c:pt idx="3">
                  <c:v>1464</c:v>
                </c:pt>
                <c:pt idx="4">
                  <c:v>1539</c:v>
                </c:pt>
                <c:pt idx="5">
                  <c:v>1526</c:v>
                </c:pt>
                <c:pt idx="6">
                  <c:v>1499</c:v>
                </c:pt>
                <c:pt idx="7">
                  <c:v>1376</c:v>
                </c:pt>
                <c:pt idx="8">
                  <c:v>1662</c:v>
                </c:pt>
                <c:pt idx="9">
                  <c:v>1537</c:v>
                </c:pt>
                <c:pt idx="10">
                  <c:v>1585</c:v>
                </c:pt>
                <c:pt idx="11">
                  <c:v>1575</c:v>
                </c:pt>
                <c:pt idx="12">
                  <c:v>1519</c:v>
                </c:pt>
                <c:pt idx="13">
                  <c:v>1510</c:v>
                </c:pt>
                <c:pt idx="14">
                  <c:v>1518</c:v>
                </c:pt>
                <c:pt idx="15">
                  <c:v>1540</c:v>
                </c:pt>
                <c:pt idx="16">
                  <c:v>1533</c:v>
                </c:pt>
                <c:pt idx="17">
                  <c:v>1577</c:v>
                </c:pt>
                <c:pt idx="18">
                  <c:v>1515</c:v>
                </c:pt>
                <c:pt idx="19">
                  <c:v>1509</c:v>
                </c:pt>
                <c:pt idx="20">
                  <c:v>1614</c:v>
                </c:pt>
                <c:pt idx="21">
                  <c:v>1488</c:v>
                </c:pt>
                <c:pt idx="22">
                  <c:v>1567</c:v>
                </c:pt>
                <c:pt idx="23">
                  <c:v>1544</c:v>
                </c:pt>
                <c:pt idx="24">
                  <c:v>1462</c:v>
                </c:pt>
                <c:pt idx="25">
                  <c:v>1484</c:v>
                </c:pt>
                <c:pt idx="26">
                  <c:v>1456</c:v>
                </c:pt>
                <c:pt idx="27">
                  <c:v>1586</c:v>
                </c:pt>
                <c:pt idx="28">
                  <c:v>1536</c:v>
                </c:pt>
                <c:pt idx="29">
                  <c:v>1444</c:v>
                </c:pt>
                <c:pt idx="30">
                  <c:v>1537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Req2!$B$101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Req2!$C$101:$AG$101</c:f>
              <c:numCache>
                <c:ptCount val="31"/>
                <c:pt idx="0">
                  <c:v>5181</c:v>
                </c:pt>
                <c:pt idx="1">
                  <c:v>4985</c:v>
                </c:pt>
                <c:pt idx="2">
                  <c:v>5277</c:v>
                </c:pt>
                <c:pt idx="3">
                  <c:v>5326</c:v>
                </c:pt>
                <c:pt idx="4">
                  <c:v>5531</c:v>
                </c:pt>
                <c:pt idx="5">
                  <c:v>5641</c:v>
                </c:pt>
                <c:pt idx="6">
                  <c:v>5575</c:v>
                </c:pt>
                <c:pt idx="7">
                  <c:v>5107</c:v>
                </c:pt>
                <c:pt idx="8">
                  <c:v>6307</c:v>
                </c:pt>
                <c:pt idx="9">
                  <c:v>5926</c:v>
                </c:pt>
                <c:pt idx="10">
                  <c:v>6053</c:v>
                </c:pt>
                <c:pt idx="11">
                  <c:v>5994</c:v>
                </c:pt>
                <c:pt idx="12">
                  <c:v>5863</c:v>
                </c:pt>
                <c:pt idx="13">
                  <c:v>5900</c:v>
                </c:pt>
                <c:pt idx="14">
                  <c:v>5926</c:v>
                </c:pt>
                <c:pt idx="15">
                  <c:v>5953</c:v>
                </c:pt>
                <c:pt idx="16">
                  <c:v>6228</c:v>
                </c:pt>
                <c:pt idx="17">
                  <c:v>6428</c:v>
                </c:pt>
                <c:pt idx="18">
                  <c:v>6267</c:v>
                </c:pt>
                <c:pt idx="19">
                  <c:v>6236</c:v>
                </c:pt>
                <c:pt idx="20">
                  <c:v>6613</c:v>
                </c:pt>
                <c:pt idx="21">
                  <c:v>6161</c:v>
                </c:pt>
                <c:pt idx="22">
                  <c:v>6678</c:v>
                </c:pt>
                <c:pt idx="23">
                  <c:v>6564</c:v>
                </c:pt>
                <c:pt idx="24">
                  <c:v>6353</c:v>
                </c:pt>
                <c:pt idx="25">
                  <c:v>6448</c:v>
                </c:pt>
                <c:pt idx="26">
                  <c:v>6334</c:v>
                </c:pt>
                <c:pt idx="27">
                  <c:v>6788</c:v>
                </c:pt>
                <c:pt idx="28">
                  <c:v>6693</c:v>
                </c:pt>
                <c:pt idx="29">
                  <c:v>6546</c:v>
                </c:pt>
                <c:pt idx="30">
                  <c:v>7121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Req2!$B$102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Req2!$C$102:$AG$102</c:f>
              <c:numCache>
                <c:ptCount val="31"/>
                <c:pt idx="0">
                  <c:v>599</c:v>
                </c:pt>
                <c:pt idx="1">
                  <c:v>595</c:v>
                </c:pt>
                <c:pt idx="2">
                  <c:v>677</c:v>
                </c:pt>
                <c:pt idx="3">
                  <c:v>749</c:v>
                </c:pt>
                <c:pt idx="4">
                  <c:v>878</c:v>
                </c:pt>
                <c:pt idx="5">
                  <c:v>892</c:v>
                </c:pt>
                <c:pt idx="6">
                  <c:v>922</c:v>
                </c:pt>
                <c:pt idx="7">
                  <c:v>848</c:v>
                </c:pt>
                <c:pt idx="8">
                  <c:v>1076</c:v>
                </c:pt>
                <c:pt idx="9">
                  <c:v>1031</c:v>
                </c:pt>
                <c:pt idx="10">
                  <c:v>1113</c:v>
                </c:pt>
                <c:pt idx="11">
                  <c:v>1119</c:v>
                </c:pt>
                <c:pt idx="12">
                  <c:v>1108</c:v>
                </c:pt>
                <c:pt idx="13">
                  <c:v>1143</c:v>
                </c:pt>
                <c:pt idx="14">
                  <c:v>1150</c:v>
                </c:pt>
                <c:pt idx="15">
                  <c:v>1167</c:v>
                </c:pt>
                <c:pt idx="16">
                  <c:v>1229</c:v>
                </c:pt>
                <c:pt idx="17">
                  <c:v>1314</c:v>
                </c:pt>
                <c:pt idx="18">
                  <c:v>1304</c:v>
                </c:pt>
                <c:pt idx="19">
                  <c:v>1490</c:v>
                </c:pt>
                <c:pt idx="20">
                  <c:v>1805</c:v>
                </c:pt>
                <c:pt idx="21">
                  <c:v>1783</c:v>
                </c:pt>
                <c:pt idx="22">
                  <c:v>2055</c:v>
                </c:pt>
                <c:pt idx="23">
                  <c:v>2243</c:v>
                </c:pt>
                <c:pt idx="24">
                  <c:v>2298</c:v>
                </c:pt>
                <c:pt idx="25">
                  <c:v>2356</c:v>
                </c:pt>
                <c:pt idx="26">
                  <c:v>2461</c:v>
                </c:pt>
                <c:pt idx="27">
                  <c:v>2829</c:v>
                </c:pt>
                <c:pt idx="28">
                  <c:v>2879</c:v>
                </c:pt>
                <c:pt idx="29">
                  <c:v>2922</c:v>
                </c:pt>
                <c:pt idx="30">
                  <c:v>3245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Req2!$B$103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Req2!$C$103:$AG$103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</c:v>
                </c:pt>
                <c:pt idx="7">
                  <c:v>139</c:v>
                </c:pt>
                <c:pt idx="8">
                  <c:v>316</c:v>
                </c:pt>
                <c:pt idx="9">
                  <c:v>425</c:v>
                </c:pt>
                <c:pt idx="10">
                  <c:v>527</c:v>
                </c:pt>
                <c:pt idx="11">
                  <c:v>565</c:v>
                </c:pt>
                <c:pt idx="12">
                  <c:v>577</c:v>
                </c:pt>
                <c:pt idx="13">
                  <c:v>604</c:v>
                </c:pt>
                <c:pt idx="14">
                  <c:v>661</c:v>
                </c:pt>
                <c:pt idx="15">
                  <c:v>687</c:v>
                </c:pt>
                <c:pt idx="16">
                  <c:v>737</c:v>
                </c:pt>
                <c:pt idx="17">
                  <c:v>804</c:v>
                </c:pt>
                <c:pt idx="18">
                  <c:v>816</c:v>
                </c:pt>
                <c:pt idx="19">
                  <c:v>798</c:v>
                </c:pt>
                <c:pt idx="20">
                  <c:v>874</c:v>
                </c:pt>
                <c:pt idx="21">
                  <c:v>830</c:v>
                </c:pt>
                <c:pt idx="22">
                  <c:v>868</c:v>
                </c:pt>
                <c:pt idx="23">
                  <c:v>850</c:v>
                </c:pt>
                <c:pt idx="24">
                  <c:v>807</c:v>
                </c:pt>
                <c:pt idx="25">
                  <c:v>849</c:v>
                </c:pt>
                <c:pt idx="26">
                  <c:v>831</c:v>
                </c:pt>
                <c:pt idx="27">
                  <c:v>920</c:v>
                </c:pt>
                <c:pt idx="28">
                  <c:v>931</c:v>
                </c:pt>
                <c:pt idx="29">
                  <c:v>906</c:v>
                </c:pt>
                <c:pt idx="30">
                  <c:v>1005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Req2!$B$104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Req2!$C$104:$AG$104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80</c:v>
                </c:pt>
                <c:pt idx="20">
                  <c:v>138</c:v>
                </c:pt>
                <c:pt idx="21">
                  <c:v>168</c:v>
                </c:pt>
                <c:pt idx="22">
                  <c:v>215</c:v>
                </c:pt>
                <c:pt idx="23">
                  <c:v>262</c:v>
                </c:pt>
                <c:pt idx="24">
                  <c:v>280</c:v>
                </c:pt>
                <c:pt idx="25">
                  <c:v>316</c:v>
                </c:pt>
                <c:pt idx="26">
                  <c:v>343</c:v>
                </c:pt>
                <c:pt idx="27">
                  <c:v>425</c:v>
                </c:pt>
                <c:pt idx="28">
                  <c:v>461</c:v>
                </c:pt>
                <c:pt idx="29">
                  <c:v>474</c:v>
                </c:pt>
                <c:pt idx="30">
                  <c:v>577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Req2!$B$105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Req2!$C$105:$AG$105</c:f>
              <c:numCache>
                <c:ptCount val="31"/>
                <c:pt idx="0">
                  <c:v>75</c:v>
                </c:pt>
                <c:pt idx="1">
                  <c:v>68</c:v>
                </c:pt>
                <c:pt idx="2">
                  <c:v>71</c:v>
                </c:pt>
                <c:pt idx="3">
                  <c:v>75</c:v>
                </c:pt>
                <c:pt idx="4">
                  <c:v>82</c:v>
                </c:pt>
                <c:pt idx="5">
                  <c:v>81</c:v>
                </c:pt>
                <c:pt idx="6">
                  <c:v>75</c:v>
                </c:pt>
                <c:pt idx="7">
                  <c:v>64</c:v>
                </c:pt>
                <c:pt idx="8">
                  <c:v>75</c:v>
                </c:pt>
                <c:pt idx="9">
                  <c:v>65</c:v>
                </c:pt>
                <c:pt idx="10">
                  <c:v>75</c:v>
                </c:pt>
                <c:pt idx="11">
                  <c:v>65</c:v>
                </c:pt>
                <c:pt idx="12">
                  <c:v>62</c:v>
                </c:pt>
                <c:pt idx="13">
                  <c:v>71</c:v>
                </c:pt>
                <c:pt idx="14">
                  <c:v>68</c:v>
                </c:pt>
                <c:pt idx="15">
                  <c:v>78</c:v>
                </c:pt>
                <c:pt idx="16">
                  <c:v>72</c:v>
                </c:pt>
                <c:pt idx="17">
                  <c:v>77</c:v>
                </c:pt>
                <c:pt idx="18">
                  <c:v>63</c:v>
                </c:pt>
                <c:pt idx="19">
                  <c:v>71</c:v>
                </c:pt>
                <c:pt idx="20">
                  <c:v>64</c:v>
                </c:pt>
                <c:pt idx="21">
                  <c:v>58</c:v>
                </c:pt>
                <c:pt idx="22">
                  <c:v>67</c:v>
                </c:pt>
                <c:pt idx="23">
                  <c:v>65</c:v>
                </c:pt>
                <c:pt idx="24">
                  <c:v>65</c:v>
                </c:pt>
                <c:pt idx="25">
                  <c:v>56</c:v>
                </c:pt>
                <c:pt idx="26">
                  <c:v>58</c:v>
                </c:pt>
                <c:pt idx="27">
                  <c:v>80</c:v>
                </c:pt>
                <c:pt idx="28">
                  <c:v>60</c:v>
                </c:pt>
                <c:pt idx="29">
                  <c:v>55</c:v>
                </c:pt>
                <c:pt idx="30">
                  <c:v>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Req2!$B$106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Req2!$C$106:$AG$106</c:f>
              <c:numCache>
                <c:ptCount val="31"/>
                <c:pt idx="0">
                  <c:v>5035</c:v>
                </c:pt>
                <c:pt idx="1">
                  <c:v>4843</c:v>
                </c:pt>
                <c:pt idx="2">
                  <c:v>5017</c:v>
                </c:pt>
                <c:pt idx="3">
                  <c:v>4948</c:v>
                </c:pt>
                <c:pt idx="4">
                  <c:v>5109</c:v>
                </c:pt>
                <c:pt idx="5">
                  <c:v>5172</c:v>
                </c:pt>
                <c:pt idx="6">
                  <c:v>4873</c:v>
                </c:pt>
                <c:pt idx="7">
                  <c:v>4444</c:v>
                </c:pt>
                <c:pt idx="8">
                  <c:v>5392</c:v>
                </c:pt>
                <c:pt idx="9">
                  <c:v>4915</c:v>
                </c:pt>
                <c:pt idx="10">
                  <c:v>5014</c:v>
                </c:pt>
                <c:pt idx="11">
                  <c:v>4985</c:v>
                </c:pt>
                <c:pt idx="12">
                  <c:v>4877</c:v>
                </c:pt>
                <c:pt idx="13">
                  <c:v>4900</c:v>
                </c:pt>
                <c:pt idx="14">
                  <c:v>4890</c:v>
                </c:pt>
                <c:pt idx="15">
                  <c:v>5007</c:v>
                </c:pt>
                <c:pt idx="16">
                  <c:v>4991</c:v>
                </c:pt>
                <c:pt idx="17">
                  <c:v>5128</c:v>
                </c:pt>
                <c:pt idx="18">
                  <c:v>4895</c:v>
                </c:pt>
                <c:pt idx="19">
                  <c:v>4784</c:v>
                </c:pt>
                <c:pt idx="20">
                  <c:v>5127</c:v>
                </c:pt>
                <c:pt idx="21">
                  <c:v>4665</c:v>
                </c:pt>
                <c:pt idx="22">
                  <c:v>5087</c:v>
                </c:pt>
                <c:pt idx="23">
                  <c:v>4925</c:v>
                </c:pt>
                <c:pt idx="24">
                  <c:v>4721</c:v>
                </c:pt>
                <c:pt idx="25">
                  <c:v>4814</c:v>
                </c:pt>
                <c:pt idx="26">
                  <c:v>4619</c:v>
                </c:pt>
                <c:pt idx="27">
                  <c:v>4923</c:v>
                </c:pt>
                <c:pt idx="28">
                  <c:v>4782</c:v>
                </c:pt>
                <c:pt idx="29">
                  <c:v>4497</c:v>
                </c:pt>
                <c:pt idx="30">
                  <c:v>4941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Req2!$B$107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Req2!$C$107:$AG$107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Req2!$B$109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Req2!$C$109:$AG$109</c:f>
              <c:numCache>
                <c:ptCount val="31"/>
                <c:pt idx="0">
                  <c:v>10098</c:v>
                </c:pt>
                <c:pt idx="1">
                  <c:v>9721</c:v>
                </c:pt>
                <c:pt idx="2">
                  <c:v>10093</c:v>
                </c:pt>
                <c:pt idx="3">
                  <c:v>9997</c:v>
                </c:pt>
                <c:pt idx="4">
                  <c:v>10248</c:v>
                </c:pt>
                <c:pt idx="5">
                  <c:v>10364</c:v>
                </c:pt>
                <c:pt idx="6">
                  <c:v>10003</c:v>
                </c:pt>
                <c:pt idx="7">
                  <c:v>9152</c:v>
                </c:pt>
                <c:pt idx="8">
                  <c:v>10802</c:v>
                </c:pt>
                <c:pt idx="9">
                  <c:v>10045</c:v>
                </c:pt>
                <c:pt idx="10">
                  <c:v>10379</c:v>
                </c:pt>
                <c:pt idx="11">
                  <c:v>10164</c:v>
                </c:pt>
                <c:pt idx="12">
                  <c:v>9877</c:v>
                </c:pt>
                <c:pt idx="13">
                  <c:v>9895</c:v>
                </c:pt>
                <c:pt idx="14">
                  <c:v>9836</c:v>
                </c:pt>
                <c:pt idx="15">
                  <c:v>9783</c:v>
                </c:pt>
                <c:pt idx="16">
                  <c:v>9901</c:v>
                </c:pt>
                <c:pt idx="17">
                  <c:v>10011</c:v>
                </c:pt>
                <c:pt idx="18">
                  <c:v>9749</c:v>
                </c:pt>
                <c:pt idx="19">
                  <c:v>9569</c:v>
                </c:pt>
                <c:pt idx="20">
                  <c:v>10018</c:v>
                </c:pt>
                <c:pt idx="21">
                  <c:v>9176</c:v>
                </c:pt>
                <c:pt idx="22">
                  <c:v>9896</c:v>
                </c:pt>
                <c:pt idx="23">
                  <c:v>9673</c:v>
                </c:pt>
                <c:pt idx="24">
                  <c:v>9217</c:v>
                </c:pt>
                <c:pt idx="25">
                  <c:v>9516</c:v>
                </c:pt>
                <c:pt idx="26">
                  <c:v>9078</c:v>
                </c:pt>
                <c:pt idx="27">
                  <c:v>9764</c:v>
                </c:pt>
                <c:pt idx="28">
                  <c:v>9493</c:v>
                </c:pt>
                <c:pt idx="29">
                  <c:v>9096</c:v>
                </c:pt>
                <c:pt idx="30">
                  <c:v>9866</c:v>
                </c:pt>
              </c:numCache>
            </c:numRef>
          </c:val>
          <c:smooth val="0"/>
        </c:ser>
        <c:marker val="1"/>
        <c:axId val="5076278"/>
        <c:axId val="45686503"/>
      </c:lineChart>
      <c:dateAx>
        <c:axId val="5076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 val="autoZero"/>
        <c:auto val="0"/>
        <c:noMultiLvlLbl val="0"/>
      </c:dateAx>
      <c:valAx>
        <c:axId val="4568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572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 de marché %  unités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- 1943 médecins non visités au 16/01/07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5225"/>
          <c:w val="0.754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Req3!$B$115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Req3!$C$115:$AG$115</c:f>
              <c:numCache>
                <c:ptCount val="31"/>
                <c:pt idx="0">
                  <c:v>0.1965909090909091</c:v>
                </c:pt>
                <c:pt idx="1">
                  <c:v>0.19609743762643292</c:v>
                </c:pt>
                <c:pt idx="2">
                  <c:v>0.19410842744042117</c:v>
                </c:pt>
                <c:pt idx="3">
                  <c:v>0.19225700164744647</c:v>
                </c:pt>
                <c:pt idx="4">
                  <c:v>0.19015642588207896</c:v>
                </c:pt>
                <c:pt idx="5">
                  <c:v>0.19015522089126835</c:v>
                </c:pt>
                <c:pt idx="6">
                  <c:v>0.18908547422846986</c:v>
                </c:pt>
                <c:pt idx="7">
                  <c:v>0.18535066341727593</c:v>
                </c:pt>
                <c:pt idx="8">
                  <c:v>0.18269616361449004</c:v>
                </c:pt>
                <c:pt idx="9">
                  <c:v>0.17976397755852197</c:v>
                </c:pt>
                <c:pt idx="10">
                  <c:v>0.18056872037914692</c:v>
                </c:pt>
                <c:pt idx="11">
                  <c:v>0.1803205200044828</c:v>
                </c:pt>
                <c:pt idx="12">
                  <c:v>0.1798970260508722</c:v>
                </c:pt>
                <c:pt idx="13">
                  <c:v>0.1821636119803308</c:v>
                </c:pt>
                <c:pt idx="14">
                  <c:v>0.17973507917174178</c:v>
                </c:pt>
                <c:pt idx="15">
                  <c:v>0.17916412911084043</c:v>
                </c:pt>
                <c:pt idx="16">
                  <c:v>0.17911327146855208</c:v>
                </c:pt>
                <c:pt idx="17">
                  <c:v>0.17555666929190233</c:v>
                </c:pt>
                <c:pt idx="18">
                  <c:v>0.17801185487220145</c:v>
                </c:pt>
                <c:pt idx="19">
                  <c:v>0.1751531393568147</c:v>
                </c:pt>
                <c:pt idx="20">
                  <c:v>0.17360035786793296</c:v>
                </c:pt>
                <c:pt idx="21">
                  <c:v>0.1678305309561893</c:v>
                </c:pt>
                <c:pt idx="22">
                  <c:v>0.16858560961609886</c:v>
                </c:pt>
                <c:pt idx="23">
                  <c:v>0.1669676343936658</c:v>
                </c:pt>
                <c:pt idx="24">
                  <c:v>0.16273149856120417</c:v>
                </c:pt>
                <c:pt idx="25">
                  <c:v>0.16396908467057153</c:v>
                </c:pt>
                <c:pt idx="26">
                  <c:v>0.1642580452920143</c:v>
                </c:pt>
                <c:pt idx="27">
                  <c:v>0.1593016732121052</c:v>
                </c:pt>
                <c:pt idx="28">
                  <c:v>0.15671410358016608</c:v>
                </c:pt>
                <c:pt idx="29">
                  <c:v>0.15704329613981874</c:v>
                </c:pt>
                <c:pt idx="30">
                  <c:v>0.15425046423063607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Req3!$C$116:$AG$116</c:f>
              <c:numCache>
                <c:ptCount val="31"/>
                <c:pt idx="0">
                  <c:v>0.2611607142857143</c:v>
                </c:pt>
                <c:pt idx="1">
                  <c:v>0.26007248819959544</c:v>
                </c:pt>
                <c:pt idx="2">
                  <c:v>0.26070007635735243</c:v>
                </c:pt>
                <c:pt idx="3">
                  <c:v>0.2578665568369028</c:v>
                </c:pt>
                <c:pt idx="4">
                  <c:v>0.25738462135620854</c:v>
                </c:pt>
                <c:pt idx="5">
                  <c:v>0.25567153256557407</c:v>
                </c:pt>
                <c:pt idx="6">
                  <c:v>0.2531911455808693</c:v>
                </c:pt>
                <c:pt idx="7">
                  <c:v>0.25485152089538765</c:v>
                </c:pt>
                <c:pt idx="8">
                  <c:v>0.2457224969923807</c:v>
                </c:pt>
                <c:pt idx="9">
                  <c:v>0.2456954923582898</c:v>
                </c:pt>
                <c:pt idx="10">
                  <c:v>0.24436748086037186</c:v>
                </c:pt>
                <c:pt idx="11">
                  <c:v>0.23829803130486757</c:v>
                </c:pt>
                <c:pt idx="12">
                  <c:v>0.2381080458003535</c:v>
                </c:pt>
                <c:pt idx="13">
                  <c:v>0.23461481150350172</c:v>
                </c:pt>
                <c:pt idx="14">
                  <c:v>0.23382308160779536</c:v>
                </c:pt>
                <c:pt idx="15">
                  <c:v>0.23077801461632155</c:v>
                </c:pt>
                <c:pt idx="16">
                  <c:v>0.22735307114449846</c:v>
                </c:pt>
                <c:pt idx="17">
                  <c:v>0.2226677167609365</c:v>
                </c:pt>
                <c:pt idx="18">
                  <c:v>0.22173141541133387</c:v>
                </c:pt>
                <c:pt idx="19">
                  <c:v>0.21833843797856048</c:v>
                </c:pt>
                <c:pt idx="20">
                  <c:v>0.21265613709094663</c:v>
                </c:pt>
                <c:pt idx="21">
                  <c:v>0.2138259275153123</c:v>
                </c:pt>
                <c:pt idx="22">
                  <c:v>0.2101495762568795</c:v>
                </c:pt>
                <c:pt idx="23">
                  <c:v>0.20603556049451313</c:v>
                </c:pt>
                <c:pt idx="24">
                  <c:v>0.2004353279716668</c:v>
                </c:pt>
                <c:pt idx="25">
                  <c:v>0.20015249714067862</c:v>
                </c:pt>
                <c:pt idx="26">
                  <c:v>0.19420441001191896</c:v>
                </c:pt>
                <c:pt idx="27">
                  <c:v>0.19137982244810403</c:v>
                </c:pt>
                <c:pt idx="28">
                  <c:v>0.1894834774818235</c:v>
                </c:pt>
                <c:pt idx="29">
                  <c:v>0.18607590365796411</c:v>
                </c:pt>
                <c:pt idx="30">
                  <c:v>0.18484247631636924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Req3!$C$117:$AG$117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0.0014585359077649673</c:v>
                </c:pt>
                <c:pt idx="24">
                  <c:v>0.0034678668929388327</c:v>
                </c:pt>
                <c:pt idx="25">
                  <c:v>0.003985720722281912</c:v>
                </c:pt>
                <c:pt idx="26">
                  <c:v>0.005214541120381407</c:v>
                </c:pt>
                <c:pt idx="27">
                  <c:v>0.007590508564073793</c:v>
                </c:pt>
                <c:pt idx="28">
                  <c:v>0.008648909410426932</c:v>
                </c:pt>
                <c:pt idx="29">
                  <c:v>0.01025529917307623</c:v>
                </c:pt>
                <c:pt idx="30">
                  <c:v>0.009693765146508042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Req3!$C$118:$AG$118</c:f>
              <c:numCache>
                <c:ptCount val="31"/>
                <c:pt idx="0">
                  <c:v>0.06420454545454546</c:v>
                </c:pt>
                <c:pt idx="1">
                  <c:v>0.06405933917734322</c:v>
                </c:pt>
                <c:pt idx="2">
                  <c:v>0.0654261945906844</c:v>
                </c:pt>
                <c:pt idx="3">
                  <c:v>0.06630971993410215</c:v>
                </c:pt>
                <c:pt idx="4">
                  <c:v>0.06583084268136474</c:v>
                </c:pt>
                <c:pt idx="5">
                  <c:v>0.06516966452258983</c:v>
                </c:pt>
                <c:pt idx="6">
                  <c:v>0.06620617224107288</c:v>
                </c:pt>
                <c:pt idx="7">
                  <c:v>0.06512320606552938</c:v>
                </c:pt>
                <c:pt idx="8">
                  <c:v>0.06727041839326293</c:v>
                </c:pt>
                <c:pt idx="9">
                  <c:v>0.06438382665892822</c:v>
                </c:pt>
                <c:pt idx="10">
                  <c:v>0.06467371491068173</c:v>
                </c:pt>
                <c:pt idx="11">
                  <c:v>0.0653367701445702</c:v>
                </c:pt>
                <c:pt idx="12">
                  <c:v>0.06393606393606394</c:v>
                </c:pt>
                <c:pt idx="13">
                  <c:v>0.06366413351214424</c:v>
                </c:pt>
                <c:pt idx="14">
                  <c:v>0.0636799634591961</c:v>
                </c:pt>
                <c:pt idx="15">
                  <c:v>0.06493605359317906</c:v>
                </c:pt>
                <c:pt idx="16">
                  <c:v>0.06260126675504493</c:v>
                </c:pt>
                <c:pt idx="17">
                  <c:v>0.06347103887735377</c:v>
                </c:pt>
                <c:pt idx="18">
                  <c:v>0.06267225431343679</c:v>
                </c:pt>
                <c:pt idx="19">
                  <c:v>0.06228943338437978</c:v>
                </c:pt>
                <c:pt idx="20">
                  <c:v>0.06228278448780152</c:v>
                </c:pt>
                <c:pt idx="21">
                  <c:v>0.06245854952600164</c:v>
                </c:pt>
                <c:pt idx="22">
                  <c:v>0.06070837694567309</c:v>
                </c:pt>
                <c:pt idx="23">
                  <c:v>0.06004306153632449</c:v>
                </c:pt>
                <c:pt idx="24">
                  <c:v>0.05902752158193758</c:v>
                </c:pt>
                <c:pt idx="25">
                  <c:v>0.057602329047239456</c:v>
                </c:pt>
                <c:pt idx="26">
                  <c:v>0.057769666269368296</c:v>
                </c:pt>
                <c:pt idx="27">
                  <c:v>0.05646678327447939</c:v>
                </c:pt>
                <c:pt idx="28">
                  <c:v>0.05709658523138417</c:v>
                </c:pt>
                <c:pt idx="29">
                  <c:v>0.05560972086808941</c:v>
                </c:pt>
                <c:pt idx="30">
                  <c:v>0.05381928052119724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Req3!$C$119:$AG$119</c:f>
              <c:numCache>
                <c:ptCount val="31"/>
                <c:pt idx="0">
                  <c:v>0.2349025974025974</c:v>
                </c:pt>
                <c:pt idx="1">
                  <c:v>0.2351652056641942</c:v>
                </c:pt>
                <c:pt idx="2">
                  <c:v>0.23759193023349276</c:v>
                </c:pt>
                <c:pt idx="3">
                  <c:v>0.23986820428336078</c:v>
                </c:pt>
                <c:pt idx="4">
                  <c:v>0.24022823428948492</c:v>
                </c:pt>
                <c:pt idx="5">
                  <c:v>0.24165158109617532</c:v>
                </c:pt>
                <c:pt idx="6">
                  <c:v>0.24555663273549846</c:v>
                </c:pt>
                <c:pt idx="7">
                  <c:v>0.2444263922736709</c:v>
                </c:pt>
                <c:pt idx="8">
                  <c:v>0.25033417992247026</c:v>
                </c:pt>
                <c:pt idx="9">
                  <c:v>0.2509963242406655</c:v>
                </c:pt>
                <c:pt idx="10">
                  <c:v>0.24921618665694495</c:v>
                </c:pt>
                <c:pt idx="11">
                  <c:v>0.2499906608390302</c:v>
                </c:pt>
                <c:pt idx="12">
                  <c:v>0.25024975024975027</c:v>
                </c:pt>
                <c:pt idx="13">
                  <c:v>0.25007450454477725</c:v>
                </c:pt>
                <c:pt idx="14">
                  <c:v>0.25087545676004874</c:v>
                </c:pt>
                <c:pt idx="15">
                  <c:v>0.24889616321559074</c:v>
                </c:pt>
                <c:pt idx="16">
                  <c:v>0.25640742377375164</c:v>
                </c:pt>
                <c:pt idx="17">
                  <c:v>0.2581083983675807</c:v>
                </c:pt>
                <c:pt idx="18">
                  <c:v>0.2582398912674142</c:v>
                </c:pt>
                <c:pt idx="19">
                  <c:v>0.2584992343032159</c:v>
                </c:pt>
                <c:pt idx="20">
                  <c:v>0.2566326003922783</c:v>
                </c:pt>
                <c:pt idx="21">
                  <c:v>0.2558030663597706</c:v>
                </c:pt>
                <c:pt idx="22">
                  <c:v>0.25826383495965155</c:v>
                </c:pt>
                <c:pt idx="23">
                  <c:v>0.2566328656757883</c:v>
                </c:pt>
                <c:pt idx="24">
                  <c:v>0.25676971888142847</c:v>
                </c:pt>
                <c:pt idx="25">
                  <c:v>0.2565071223096385</c:v>
                </c:pt>
                <c:pt idx="26">
                  <c:v>0.256965137067938</c:v>
                </c:pt>
                <c:pt idx="27">
                  <c:v>0.2541170258407313</c:v>
                </c:pt>
                <c:pt idx="28">
                  <c:v>0.2549877674787223</c:v>
                </c:pt>
                <c:pt idx="29">
                  <c:v>0.256635250785397</c:v>
                </c:pt>
                <c:pt idx="30">
                  <c:v>0.25641267743052276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Req3!$C$120:$AG$120</c:f>
              <c:numCache>
                <c:ptCount val="31"/>
                <c:pt idx="0">
                  <c:v>0.02747564935064935</c:v>
                </c:pt>
                <c:pt idx="1">
                  <c:v>0.028152393796358734</c:v>
                </c:pt>
                <c:pt idx="2">
                  <c:v>0.029940119760479042</c:v>
                </c:pt>
                <c:pt idx="3">
                  <c:v>0.0335667215815486</c:v>
                </c:pt>
                <c:pt idx="4">
                  <c:v>0.037534448627877186</c:v>
                </c:pt>
                <c:pt idx="5">
                  <c:v>0.03851635019065593</c:v>
                </c:pt>
                <c:pt idx="6">
                  <c:v>0.04055582485054128</c:v>
                </c:pt>
                <c:pt idx="7">
                  <c:v>0.040978427655925624</c:v>
                </c:pt>
                <c:pt idx="8">
                  <c:v>0.04277503007619302</c:v>
                </c:pt>
                <c:pt idx="9">
                  <c:v>0.04383826658928226</c:v>
                </c:pt>
                <c:pt idx="10">
                  <c:v>0.04597156398104266</c:v>
                </c:pt>
                <c:pt idx="11">
                  <c:v>0.046434308341738575</c:v>
                </c:pt>
                <c:pt idx="12">
                  <c:v>0.04702989318373934</c:v>
                </c:pt>
                <c:pt idx="13">
                  <c:v>0.048092683653702874</c:v>
                </c:pt>
                <c:pt idx="14">
                  <c:v>0.048150121802679656</c:v>
                </c:pt>
                <c:pt idx="15">
                  <c:v>0.048340438489646774</c:v>
                </c:pt>
                <c:pt idx="16">
                  <c:v>0.05085432316983356</c:v>
                </c:pt>
                <c:pt idx="17">
                  <c:v>0.052874633063650034</c:v>
                </c:pt>
                <c:pt idx="18">
                  <c:v>0.054064257937856304</c:v>
                </c:pt>
                <c:pt idx="19">
                  <c:v>0.0608728943338438</c:v>
                </c:pt>
                <c:pt idx="20">
                  <c:v>0.06902721860913251</c:v>
                </c:pt>
                <c:pt idx="21">
                  <c:v>0.0742402371942418</c:v>
                </c:pt>
                <c:pt idx="22">
                  <c:v>0.07718540027686802</c:v>
                </c:pt>
                <c:pt idx="23">
                  <c:v>0.08674815946659258</c:v>
                </c:pt>
                <c:pt idx="24">
                  <c:v>0.09296834649155168</c:v>
                </c:pt>
                <c:pt idx="25">
                  <c:v>0.09260735452119363</c:v>
                </c:pt>
                <c:pt idx="26">
                  <c:v>0.09929976162097735</c:v>
                </c:pt>
                <c:pt idx="27">
                  <c:v>0.10524405135144055</c:v>
                </c:pt>
                <c:pt idx="28">
                  <c:v>0.10874883704903346</c:v>
                </c:pt>
                <c:pt idx="29">
                  <c:v>0.114108258404651</c:v>
                </c:pt>
                <c:pt idx="30">
                  <c:v>0.1168602272369622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Req3!$C$121:$AG$121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0.0017369526579415092</c:v>
                </c:pt>
                <c:pt idx="7">
                  <c:v>0.006453651051538948</c:v>
                </c:pt>
                <c:pt idx="8">
                  <c:v>0.011963641224435237</c:v>
                </c:pt>
                <c:pt idx="9">
                  <c:v>0.01772102921261366</c:v>
                </c:pt>
                <c:pt idx="10">
                  <c:v>0.02121764491432738</c:v>
                </c:pt>
                <c:pt idx="11">
                  <c:v>0.02327318913668796</c:v>
                </c:pt>
                <c:pt idx="12">
                  <c:v>0.02405287020671636</c:v>
                </c:pt>
                <c:pt idx="13">
                  <c:v>0.025890329310087914</c:v>
                </c:pt>
                <c:pt idx="14">
                  <c:v>0.027481729598051157</c:v>
                </c:pt>
                <c:pt idx="15">
                  <c:v>0.028737819732034105</c:v>
                </c:pt>
                <c:pt idx="16">
                  <c:v>0.029717189571365443</c:v>
                </c:pt>
                <c:pt idx="17">
                  <c:v>0.03232619746545429</c:v>
                </c:pt>
                <c:pt idx="18">
                  <c:v>0.03352588062068185</c:v>
                </c:pt>
                <c:pt idx="19">
                  <c:v>0.032695252679938745</c:v>
                </c:pt>
                <c:pt idx="20">
                  <c:v>0.033206014934104126</c:v>
                </c:pt>
                <c:pt idx="21">
                  <c:v>0.03456481878828073</c:v>
                </c:pt>
                <c:pt idx="22">
                  <c:v>0.03315663301482257</c:v>
                </c:pt>
                <c:pt idx="23">
                  <c:v>0.03299069315182664</c:v>
                </c:pt>
                <c:pt idx="24">
                  <c:v>0.03216999926215598</c:v>
                </c:pt>
                <c:pt idx="25">
                  <c:v>0.033410737185041416</c:v>
                </c:pt>
                <c:pt idx="26">
                  <c:v>0.03352205005959476</c:v>
                </c:pt>
                <c:pt idx="27">
                  <c:v>0.034817332761295006</c:v>
                </c:pt>
                <c:pt idx="28">
                  <c:v>0.03542262499569277</c:v>
                </c:pt>
                <c:pt idx="29">
                  <c:v>0.03535189398042827</c:v>
                </c:pt>
                <c:pt idx="30">
                  <c:v>0.036288672772479776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Req3!$C$122:$AG$122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0.0005285611809566958</c:v>
                </c:pt>
                <c:pt idx="19">
                  <c:v>0.0031776416539050535</c:v>
                </c:pt>
                <c:pt idx="20">
                  <c:v>0.0050239152128281886</c:v>
                </c:pt>
                <c:pt idx="21">
                  <c:v>0.006983185737135723</c:v>
                </c:pt>
                <c:pt idx="22">
                  <c:v>0.007833338960732012</c:v>
                </c:pt>
                <c:pt idx="23">
                  <c:v>0.010105570218085846</c:v>
                </c:pt>
                <c:pt idx="24">
                  <c:v>0.01080941488969232</c:v>
                </c:pt>
                <c:pt idx="25">
                  <c:v>0.012581014105985514</c:v>
                </c:pt>
                <c:pt idx="26">
                  <c:v>0.013334326579261025</c:v>
                </c:pt>
                <c:pt idx="27">
                  <c:v>0.015412032606184614</c:v>
                </c:pt>
                <c:pt idx="28">
                  <c:v>0.01705661417594156</c:v>
                </c:pt>
                <c:pt idx="29">
                  <c:v>0.01830787563644242</c:v>
                </c:pt>
                <c:pt idx="30">
                  <c:v>0.020614987568060933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Req3!$C$123:$AG$123</c:f>
              <c:numCache>
                <c:ptCount val="31"/>
                <c:pt idx="0">
                  <c:v>0.003287337662337662</c:v>
                </c:pt>
                <c:pt idx="1">
                  <c:v>0.003287255563047876</c:v>
                </c:pt>
                <c:pt idx="2">
                  <c:v>0.0030944821765864243</c:v>
                </c:pt>
                <c:pt idx="3">
                  <c:v>0.003130148270181219</c:v>
                </c:pt>
                <c:pt idx="4">
                  <c:v>0.0033381205604937313</c:v>
                </c:pt>
                <c:pt idx="5">
                  <c:v>0.00350498786734969</c:v>
                </c:pt>
                <c:pt idx="6">
                  <c:v>0.0033123283244465987</c:v>
                </c:pt>
                <c:pt idx="7">
                  <c:v>0.003113999458434877</c:v>
                </c:pt>
                <c:pt idx="8">
                  <c:v>0.0027402753642561156</c:v>
                </c:pt>
                <c:pt idx="9">
                  <c:v>0.0026310698394273555</c:v>
                </c:pt>
                <c:pt idx="10">
                  <c:v>0.002952971199416697</c:v>
                </c:pt>
                <c:pt idx="11">
                  <c:v>0.0027643916470544284</c:v>
                </c:pt>
                <c:pt idx="12">
                  <c:v>0.002574348728194882</c:v>
                </c:pt>
                <c:pt idx="13">
                  <c:v>0.0029801817910892563</c:v>
                </c:pt>
                <c:pt idx="14">
                  <c:v>0.0029308769792935445</c:v>
                </c:pt>
                <c:pt idx="15">
                  <c:v>0.0032353836784409255</c:v>
                </c:pt>
                <c:pt idx="16">
                  <c:v>0.002761820592134335</c:v>
                </c:pt>
                <c:pt idx="17">
                  <c:v>0.003078685472900408</c:v>
                </c:pt>
                <c:pt idx="18">
                  <c:v>0.002567297164646808</c:v>
                </c:pt>
                <c:pt idx="19">
                  <c:v>0.002871362940275651</c:v>
                </c:pt>
                <c:pt idx="20">
                  <c:v>0.002408726471903926</c:v>
                </c:pt>
                <c:pt idx="21">
                  <c:v>0.0023017204384972495</c:v>
                </c:pt>
                <c:pt idx="22">
                  <c:v>0.0027011513657696595</c:v>
                </c:pt>
                <c:pt idx="23">
                  <c:v>0.002291984997916377</c:v>
                </c:pt>
                <c:pt idx="24">
                  <c:v>0.002545561868221058</c:v>
                </c:pt>
                <c:pt idx="25">
                  <c:v>0.0021834817869892213</c:v>
                </c:pt>
                <c:pt idx="26">
                  <c:v>0.0023092967818831942</c:v>
                </c:pt>
                <c:pt idx="27">
                  <c:v>0.003036203425629517</c:v>
                </c:pt>
                <c:pt idx="28">
                  <c:v>0.0021708418042107437</c:v>
                </c:pt>
                <c:pt idx="29">
                  <c:v>0.002058281876286426</c:v>
                </c:pt>
                <c:pt idx="30">
                  <c:v>0.002517861077015076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Req3!$C$124:$AG$124</c:f>
              <c:numCache>
                <c:ptCount val="31"/>
                <c:pt idx="0">
                  <c:v>0.21237824675324676</c:v>
                </c:pt>
                <c:pt idx="1">
                  <c:v>0.21316587997302763</c:v>
                </c:pt>
                <c:pt idx="2">
                  <c:v>0.2091387694409838</c:v>
                </c:pt>
                <c:pt idx="3">
                  <c:v>0.207001647446458</c:v>
                </c:pt>
                <c:pt idx="4">
                  <c:v>0.20552730660249194</c:v>
                </c:pt>
                <c:pt idx="5">
                  <c:v>0.2053306628663868</c:v>
                </c:pt>
                <c:pt idx="6">
                  <c:v>0.2003554693811601</c:v>
                </c:pt>
                <c:pt idx="7">
                  <c:v>0.19970213918223667</c:v>
                </c:pt>
                <c:pt idx="8">
                  <c:v>0.1964977944125117</c:v>
                </c:pt>
                <c:pt idx="9">
                  <c:v>0.19497001354227123</c:v>
                </c:pt>
                <c:pt idx="10">
                  <c:v>0.19103171709806782</c:v>
                </c:pt>
                <c:pt idx="11">
                  <c:v>0.19358212858156823</c:v>
                </c:pt>
                <c:pt idx="12">
                  <c:v>0.19415200184430953</c:v>
                </c:pt>
                <c:pt idx="13">
                  <c:v>0.19251974370436598</c:v>
                </c:pt>
                <c:pt idx="14">
                  <c:v>0.19332369062119367</c:v>
                </c:pt>
                <c:pt idx="15">
                  <c:v>0.1959119975639464</c:v>
                </c:pt>
                <c:pt idx="16">
                  <c:v>0.19119163352481955</c:v>
                </c:pt>
                <c:pt idx="17">
                  <c:v>0.19191666070022195</c:v>
                </c:pt>
                <c:pt idx="18">
                  <c:v>0.18865858723147205</c:v>
                </c:pt>
                <c:pt idx="19">
                  <c:v>0.18610260336906584</c:v>
                </c:pt>
                <c:pt idx="20">
                  <c:v>0.18516224493307182</c:v>
                </c:pt>
                <c:pt idx="21">
                  <c:v>0.18199196348457067</c:v>
                </c:pt>
                <c:pt idx="22">
                  <c:v>0.18141607860350475</c:v>
                </c:pt>
                <c:pt idx="23">
                  <c:v>0.17672593415752189</c:v>
                </c:pt>
                <c:pt idx="24">
                  <c:v>0.17907474359920314</c:v>
                </c:pt>
                <c:pt idx="25">
                  <c:v>0.17700065851038022</c:v>
                </c:pt>
                <c:pt idx="26">
                  <c:v>0.1731227651966627</c:v>
                </c:pt>
                <c:pt idx="27">
                  <c:v>0.17263456651595657</c:v>
                </c:pt>
                <c:pt idx="28">
                  <c:v>0.16967023879259846</c:v>
                </c:pt>
                <c:pt idx="29">
                  <c:v>0.16455421947784638</c:v>
                </c:pt>
                <c:pt idx="30">
                  <c:v>0.1642274887483083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Req3!$C$125:$AG$125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0.0004720989519403267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Req3!$C$127:$AG$127</c:f>
              <c:numCache>
                <c:ptCount val="31"/>
                <c:pt idx="0">
                  <c:v>0.4577516233766234</c:v>
                </c:pt>
                <c:pt idx="1">
                  <c:v>0.45616992582602833</c:v>
                </c:pt>
                <c:pt idx="2">
                  <c:v>0.4548085037977736</c:v>
                </c:pt>
                <c:pt idx="3">
                  <c:v>0.45012355848434926</c:v>
                </c:pt>
                <c:pt idx="4">
                  <c:v>0.44754104723828747</c:v>
                </c:pt>
                <c:pt idx="5">
                  <c:v>0.4458267534568424</c:v>
                </c:pt>
                <c:pt idx="6">
                  <c:v>0.44227661980933913</c:v>
                </c:pt>
                <c:pt idx="7">
                  <c:v>0.4402021843126636</c:v>
                </c:pt>
                <c:pt idx="8">
                  <c:v>0.4284186606068707</c:v>
                </c:pt>
                <c:pt idx="9">
                  <c:v>0.42545946991681177</c:v>
                </c:pt>
                <c:pt idx="10">
                  <c:v>0.42493620123951875</c:v>
                </c:pt>
                <c:pt idx="11">
                  <c:v>0.4186185513093504</c:v>
                </c:pt>
                <c:pt idx="12">
                  <c:v>0.4180050718512257</c:v>
                </c:pt>
                <c:pt idx="13">
                  <c:v>0.41677842348383254</c:v>
                </c:pt>
                <c:pt idx="14">
                  <c:v>0.41355816077953717</c:v>
                </c:pt>
                <c:pt idx="15">
                  <c:v>0.409942143727162</c:v>
                </c:pt>
                <c:pt idx="16">
                  <c:v>0.40646634261305054</c:v>
                </c:pt>
                <c:pt idx="17">
                  <c:v>0.39822438605283883</c:v>
                </c:pt>
                <c:pt idx="18">
                  <c:v>0.39974327028353535</c:v>
                </c:pt>
                <c:pt idx="19">
                  <c:v>0.3934915773353752</c:v>
                </c:pt>
                <c:pt idx="20">
                  <c:v>0.3862564949588796</c:v>
                </c:pt>
                <c:pt idx="21">
                  <c:v>0.3816564584715016</c:v>
                </c:pt>
                <c:pt idx="22">
                  <c:v>0.37873518587297833</c:v>
                </c:pt>
                <c:pt idx="23">
                  <c:v>0.37446173079594386</c:v>
                </c:pt>
                <c:pt idx="24">
                  <c:v>0.3666346934258098</c:v>
                </c:pt>
                <c:pt idx="25">
                  <c:v>0.368107302533532</c:v>
                </c:pt>
                <c:pt idx="26">
                  <c:v>0.36367699642431467</c:v>
                </c:pt>
                <c:pt idx="27">
                  <c:v>0.358272004224283</c:v>
                </c:pt>
                <c:pt idx="28">
                  <c:v>0.3548464904724165</c:v>
                </c:pt>
                <c:pt idx="29">
                  <c:v>0.35337449897085904</c:v>
                </c:pt>
                <c:pt idx="30">
                  <c:v>0.3487867056935134</c:v>
                </c:pt>
              </c:numCache>
            </c:numRef>
          </c:val>
          <c:smooth val="0"/>
        </c:ser>
        <c:marker val="1"/>
        <c:axId val="8525344"/>
        <c:axId val="9619233"/>
      </c:lineChart>
      <c:dateAx>
        <c:axId val="852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auto val="0"/>
        <c:noMultiLvlLbl val="0"/>
      </c:dateAx>
      <c:valAx>
        <c:axId val="961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Nbre de boites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5253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46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Nombres de boites 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- 1943 médecins non visités au 16/01/07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73"/>
          <c:w val="0.753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Req3!$B$97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Req3!$C$97:$AG$97</c:f>
              <c:numCache>
                <c:ptCount val="31"/>
                <c:pt idx="0">
                  <c:v>4844</c:v>
                </c:pt>
                <c:pt idx="1">
                  <c:v>4653</c:v>
                </c:pt>
                <c:pt idx="2">
                  <c:v>4830</c:v>
                </c:pt>
                <c:pt idx="3">
                  <c:v>4668</c:v>
                </c:pt>
                <c:pt idx="4">
                  <c:v>4899</c:v>
                </c:pt>
                <c:pt idx="5">
                  <c:v>4937</c:v>
                </c:pt>
                <c:pt idx="6">
                  <c:v>4681</c:v>
                </c:pt>
                <c:pt idx="7">
                  <c:v>4107</c:v>
                </c:pt>
                <c:pt idx="8">
                  <c:v>5467</c:v>
                </c:pt>
                <c:pt idx="9">
                  <c:v>4646</c:v>
                </c:pt>
                <c:pt idx="10">
                  <c:v>4953</c:v>
                </c:pt>
                <c:pt idx="11">
                  <c:v>4827</c:v>
                </c:pt>
                <c:pt idx="12">
                  <c:v>4682</c:v>
                </c:pt>
                <c:pt idx="13">
                  <c:v>4890</c:v>
                </c:pt>
                <c:pt idx="14">
                  <c:v>4722</c:v>
                </c:pt>
                <c:pt idx="15">
                  <c:v>4707</c:v>
                </c:pt>
                <c:pt idx="16">
                  <c:v>4864</c:v>
                </c:pt>
                <c:pt idx="17">
                  <c:v>4904</c:v>
                </c:pt>
                <c:pt idx="18">
                  <c:v>4715</c:v>
                </c:pt>
                <c:pt idx="19">
                  <c:v>4575</c:v>
                </c:pt>
                <c:pt idx="20">
                  <c:v>5045</c:v>
                </c:pt>
                <c:pt idx="21">
                  <c:v>4302</c:v>
                </c:pt>
                <c:pt idx="22">
                  <c:v>4993</c:v>
                </c:pt>
                <c:pt idx="23">
                  <c:v>4808</c:v>
                </c:pt>
                <c:pt idx="24">
                  <c:v>4411</c:v>
                </c:pt>
                <c:pt idx="25">
                  <c:v>4731</c:v>
                </c:pt>
                <c:pt idx="26">
                  <c:v>4410</c:v>
                </c:pt>
                <c:pt idx="27">
                  <c:v>4827</c:v>
                </c:pt>
                <c:pt idx="28">
                  <c:v>4548</c:v>
                </c:pt>
                <c:pt idx="29">
                  <c:v>4349</c:v>
                </c:pt>
                <c:pt idx="30">
                  <c:v>4901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Req3!$C$98:$AG$98</c:f>
              <c:numCache>
                <c:ptCount val="31"/>
                <c:pt idx="0">
                  <c:v>6435</c:v>
                </c:pt>
                <c:pt idx="1">
                  <c:v>6171</c:v>
                </c:pt>
                <c:pt idx="2">
                  <c:v>6487</c:v>
                </c:pt>
                <c:pt idx="3">
                  <c:v>6261</c:v>
                </c:pt>
                <c:pt idx="4">
                  <c:v>6631</c:v>
                </c:pt>
                <c:pt idx="5">
                  <c:v>6638</c:v>
                </c:pt>
                <c:pt idx="6">
                  <c:v>6268</c:v>
                </c:pt>
                <c:pt idx="7">
                  <c:v>5647</c:v>
                </c:pt>
                <c:pt idx="8">
                  <c:v>7353</c:v>
                </c:pt>
                <c:pt idx="9">
                  <c:v>6350</c:v>
                </c:pt>
                <c:pt idx="10">
                  <c:v>6703</c:v>
                </c:pt>
                <c:pt idx="11">
                  <c:v>6379</c:v>
                </c:pt>
                <c:pt idx="12">
                  <c:v>6197</c:v>
                </c:pt>
                <c:pt idx="13">
                  <c:v>6298</c:v>
                </c:pt>
                <c:pt idx="14">
                  <c:v>6143</c:v>
                </c:pt>
                <c:pt idx="15">
                  <c:v>6063</c:v>
                </c:pt>
                <c:pt idx="16">
                  <c:v>6174</c:v>
                </c:pt>
                <c:pt idx="17">
                  <c:v>6220</c:v>
                </c:pt>
                <c:pt idx="18">
                  <c:v>5873</c:v>
                </c:pt>
                <c:pt idx="19">
                  <c:v>5703</c:v>
                </c:pt>
                <c:pt idx="20">
                  <c:v>6180</c:v>
                </c:pt>
                <c:pt idx="21">
                  <c:v>5481</c:v>
                </c:pt>
                <c:pt idx="22">
                  <c:v>6224</c:v>
                </c:pt>
                <c:pt idx="23">
                  <c:v>5933</c:v>
                </c:pt>
                <c:pt idx="24">
                  <c:v>5433</c:v>
                </c:pt>
                <c:pt idx="25">
                  <c:v>5775</c:v>
                </c:pt>
                <c:pt idx="26">
                  <c:v>5214</c:v>
                </c:pt>
                <c:pt idx="27">
                  <c:v>5799</c:v>
                </c:pt>
                <c:pt idx="28">
                  <c:v>5499</c:v>
                </c:pt>
                <c:pt idx="29">
                  <c:v>5153</c:v>
                </c:pt>
                <c:pt idx="30">
                  <c:v>5873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Req3!$C$99:$AG$99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42</c:v>
                </c:pt>
                <c:pt idx="24">
                  <c:v>94</c:v>
                </c:pt>
                <c:pt idx="25">
                  <c:v>115</c:v>
                </c:pt>
                <c:pt idx="26">
                  <c:v>140</c:v>
                </c:pt>
                <c:pt idx="27">
                  <c:v>230</c:v>
                </c:pt>
                <c:pt idx="28">
                  <c:v>251</c:v>
                </c:pt>
                <c:pt idx="29">
                  <c:v>284</c:v>
                </c:pt>
                <c:pt idx="30">
                  <c:v>308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Req3!$C$100:$AG$100</c:f>
              <c:numCache>
                <c:ptCount val="31"/>
                <c:pt idx="0">
                  <c:v>1582</c:v>
                </c:pt>
                <c:pt idx="1">
                  <c:v>1520</c:v>
                </c:pt>
                <c:pt idx="2">
                  <c:v>1628</c:v>
                </c:pt>
                <c:pt idx="3">
                  <c:v>1610</c:v>
                </c:pt>
                <c:pt idx="4">
                  <c:v>1696</c:v>
                </c:pt>
                <c:pt idx="5">
                  <c:v>1692</c:v>
                </c:pt>
                <c:pt idx="6">
                  <c:v>1639</c:v>
                </c:pt>
                <c:pt idx="7">
                  <c:v>1443</c:v>
                </c:pt>
                <c:pt idx="8">
                  <c:v>2013</c:v>
                </c:pt>
                <c:pt idx="9">
                  <c:v>1664</c:v>
                </c:pt>
                <c:pt idx="10">
                  <c:v>1774</c:v>
                </c:pt>
                <c:pt idx="11">
                  <c:v>1749</c:v>
                </c:pt>
                <c:pt idx="12">
                  <c:v>1664</c:v>
                </c:pt>
                <c:pt idx="13">
                  <c:v>1709</c:v>
                </c:pt>
                <c:pt idx="14">
                  <c:v>1673</c:v>
                </c:pt>
                <c:pt idx="15">
                  <c:v>1706</c:v>
                </c:pt>
                <c:pt idx="16">
                  <c:v>1700</c:v>
                </c:pt>
                <c:pt idx="17">
                  <c:v>1773</c:v>
                </c:pt>
                <c:pt idx="18">
                  <c:v>1660</c:v>
                </c:pt>
                <c:pt idx="19">
                  <c:v>1627</c:v>
                </c:pt>
                <c:pt idx="20">
                  <c:v>1810</c:v>
                </c:pt>
                <c:pt idx="21">
                  <c:v>1601</c:v>
                </c:pt>
                <c:pt idx="22">
                  <c:v>1798</c:v>
                </c:pt>
                <c:pt idx="23">
                  <c:v>1729</c:v>
                </c:pt>
                <c:pt idx="24">
                  <c:v>1600</c:v>
                </c:pt>
                <c:pt idx="25">
                  <c:v>1662</c:v>
                </c:pt>
                <c:pt idx="26">
                  <c:v>1551</c:v>
                </c:pt>
                <c:pt idx="27">
                  <c:v>1711</c:v>
                </c:pt>
                <c:pt idx="28">
                  <c:v>1657</c:v>
                </c:pt>
                <c:pt idx="29">
                  <c:v>1540</c:v>
                </c:pt>
                <c:pt idx="30">
                  <c:v>1710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Req3!$C$101:$AG$101</c:f>
              <c:numCache>
                <c:ptCount val="31"/>
                <c:pt idx="0">
                  <c:v>5788</c:v>
                </c:pt>
                <c:pt idx="1">
                  <c:v>5580</c:v>
                </c:pt>
                <c:pt idx="2">
                  <c:v>5912</c:v>
                </c:pt>
                <c:pt idx="3">
                  <c:v>5824</c:v>
                </c:pt>
                <c:pt idx="4">
                  <c:v>6189</c:v>
                </c:pt>
                <c:pt idx="5">
                  <c:v>6274</c:v>
                </c:pt>
                <c:pt idx="6">
                  <c:v>6079</c:v>
                </c:pt>
                <c:pt idx="7">
                  <c:v>5416</c:v>
                </c:pt>
                <c:pt idx="8">
                  <c:v>7491</c:v>
                </c:pt>
                <c:pt idx="9">
                  <c:v>6487</c:v>
                </c:pt>
                <c:pt idx="10">
                  <c:v>6836</c:v>
                </c:pt>
                <c:pt idx="11">
                  <c:v>6692</c:v>
                </c:pt>
                <c:pt idx="12">
                  <c:v>6513</c:v>
                </c:pt>
                <c:pt idx="13">
                  <c:v>6713</c:v>
                </c:pt>
                <c:pt idx="14">
                  <c:v>6591</c:v>
                </c:pt>
                <c:pt idx="15">
                  <c:v>6539</c:v>
                </c:pt>
                <c:pt idx="16">
                  <c:v>6963</c:v>
                </c:pt>
                <c:pt idx="17">
                  <c:v>7210</c:v>
                </c:pt>
                <c:pt idx="18">
                  <c:v>6840</c:v>
                </c:pt>
                <c:pt idx="19">
                  <c:v>6752</c:v>
                </c:pt>
                <c:pt idx="20">
                  <c:v>7458</c:v>
                </c:pt>
                <c:pt idx="21">
                  <c:v>6557</c:v>
                </c:pt>
                <c:pt idx="22">
                  <c:v>7649</c:v>
                </c:pt>
                <c:pt idx="23">
                  <c:v>7390</c:v>
                </c:pt>
                <c:pt idx="24">
                  <c:v>6960</c:v>
                </c:pt>
                <c:pt idx="25">
                  <c:v>7401</c:v>
                </c:pt>
                <c:pt idx="26">
                  <c:v>6899</c:v>
                </c:pt>
                <c:pt idx="27">
                  <c:v>7700</c:v>
                </c:pt>
                <c:pt idx="28">
                  <c:v>7400</c:v>
                </c:pt>
                <c:pt idx="29">
                  <c:v>7107</c:v>
                </c:pt>
                <c:pt idx="30">
                  <c:v>8147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Req3!$C$102:$AG$102</c:f>
              <c:numCache>
                <c:ptCount val="31"/>
                <c:pt idx="0">
                  <c:v>677</c:v>
                </c:pt>
                <c:pt idx="1">
                  <c:v>668</c:v>
                </c:pt>
                <c:pt idx="2">
                  <c:v>745</c:v>
                </c:pt>
                <c:pt idx="3">
                  <c:v>815</c:v>
                </c:pt>
                <c:pt idx="4">
                  <c:v>967</c:v>
                </c:pt>
                <c:pt idx="5">
                  <c:v>1000</c:v>
                </c:pt>
                <c:pt idx="6">
                  <c:v>1004</c:v>
                </c:pt>
                <c:pt idx="7">
                  <c:v>908</c:v>
                </c:pt>
                <c:pt idx="8">
                  <c:v>1280</c:v>
                </c:pt>
                <c:pt idx="9">
                  <c:v>1133</c:v>
                </c:pt>
                <c:pt idx="10">
                  <c:v>1261</c:v>
                </c:pt>
                <c:pt idx="11">
                  <c:v>1243</c:v>
                </c:pt>
                <c:pt idx="12">
                  <c:v>1224</c:v>
                </c:pt>
                <c:pt idx="13">
                  <c:v>1291</c:v>
                </c:pt>
                <c:pt idx="14">
                  <c:v>1265</c:v>
                </c:pt>
                <c:pt idx="15">
                  <c:v>1270</c:v>
                </c:pt>
                <c:pt idx="16">
                  <c:v>1381</c:v>
                </c:pt>
                <c:pt idx="17">
                  <c:v>1477</c:v>
                </c:pt>
                <c:pt idx="18">
                  <c:v>1432</c:v>
                </c:pt>
                <c:pt idx="19">
                  <c:v>1590</c:v>
                </c:pt>
                <c:pt idx="20">
                  <c:v>2006</c:v>
                </c:pt>
                <c:pt idx="21">
                  <c:v>1903</c:v>
                </c:pt>
                <c:pt idx="22">
                  <c:v>2286</c:v>
                </c:pt>
                <c:pt idx="23">
                  <c:v>2498</c:v>
                </c:pt>
                <c:pt idx="24">
                  <c:v>2520</c:v>
                </c:pt>
                <c:pt idx="25">
                  <c:v>2672</c:v>
                </c:pt>
                <c:pt idx="26">
                  <c:v>2666</c:v>
                </c:pt>
                <c:pt idx="27">
                  <c:v>3189</c:v>
                </c:pt>
                <c:pt idx="28">
                  <c:v>3156</c:v>
                </c:pt>
                <c:pt idx="29">
                  <c:v>3160</c:v>
                </c:pt>
                <c:pt idx="30">
                  <c:v>3713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Req3!$C$103:$AG$103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</c:v>
                </c:pt>
                <c:pt idx="7">
                  <c:v>143</c:v>
                </c:pt>
                <c:pt idx="8">
                  <c:v>358</c:v>
                </c:pt>
                <c:pt idx="9">
                  <c:v>458</c:v>
                </c:pt>
                <c:pt idx="10">
                  <c:v>582</c:v>
                </c:pt>
                <c:pt idx="11">
                  <c:v>623</c:v>
                </c:pt>
                <c:pt idx="12">
                  <c:v>626</c:v>
                </c:pt>
                <c:pt idx="13">
                  <c:v>695</c:v>
                </c:pt>
                <c:pt idx="14">
                  <c:v>722</c:v>
                </c:pt>
                <c:pt idx="15">
                  <c:v>755</c:v>
                </c:pt>
                <c:pt idx="16">
                  <c:v>807</c:v>
                </c:pt>
                <c:pt idx="17">
                  <c:v>903</c:v>
                </c:pt>
                <c:pt idx="18">
                  <c:v>888</c:v>
                </c:pt>
                <c:pt idx="19">
                  <c:v>854</c:v>
                </c:pt>
                <c:pt idx="20">
                  <c:v>965</c:v>
                </c:pt>
                <c:pt idx="21">
                  <c:v>886</c:v>
                </c:pt>
                <c:pt idx="22">
                  <c:v>982</c:v>
                </c:pt>
                <c:pt idx="23">
                  <c:v>950</c:v>
                </c:pt>
                <c:pt idx="24">
                  <c:v>872</c:v>
                </c:pt>
                <c:pt idx="25">
                  <c:v>964</c:v>
                </c:pt>
                <c:pt idx="26">
                  <c:v>900</c:v>
                </c:pt>
                <c:pt idx="27">
                  <c:v>1055</c:v>
                </c:pt>
                <c:pt idx="28">
                  <c:v>1028</c:v>
                </c:pt>
                <c:pt idx="29">
                  <c:v>979</c:v>
                </c:pt>
                <c:pt idx="30">
                  <c:v>1153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Req3!$C$104:$AG$104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83</c:v>
                </c:pt>
                <c:pt idx="20">
                  <c:v>146</c:v>
                </c:pt>
                <c:pt idx="21">
                  <c:v>179</c:v>
                </c:pt>
                <c:pt idx="22">
                  <c:v>232</c:v>
                </c:pt>
                <c:pt idx="23">
                  <c:v>291</c:v>
                </c:pt>
                <c:pt idx="24">
                  <c:v>293</c:v>
                </c:pt>
                <c:pt idx="25">
                  <c:v>363</c:v>
                </c:pt>
                <c:pt idx="26">
                  <c:v>358</c:v>
                </c:pt>
                <c:pt idx="27">
                  <c:v>467</c:v>
                </c:pt>
                <c:pt idx="28">
                  <c:v>495</c:v>
                </c:pt>
                <c:pt idx="29">
                  <c:v>507</c:v>
                </c:pt>
                <c:pt idx="30">
                  <c:v>655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Req3!$C$105:$AG$105</c:f>
              <c:numCache>
                <c:ptCount val="31"/>
                <c:pt idx="0">
                  <c:v>81</c:v>
                </c:pt>
                <c:pt idx="1">
                  <c:v>78</c:v>
                </c:pt>
                <c:pt idx="2">
                  <c:v>77</c:v>
                </c:pt>
                <c:pt idx="3">
                  <c:v>76</c:v>
                </c:pt>
                <c:pt idx="4">
                  <c:v>86</c:v>
                </c:pt>
                <c:pt idx="5">
                  <c:v>91</c:v>
                </c:pt>
                <c:pt idx="6">
                  <c:v>82</c:v>
                </c:pt>
                <c:pt idx="7">
                  <c:v>69</c:v>
                </c:pt>
                <c:pt idx="8">
                  <c:v>82</c:v>
                </c:pt>
                <c:pt idx="9">
                  <c:v>68</c:v>
                </c:pt>
                <c:pt idx="10">
                  <c:v>81</c:v>
                </c:pt>
                <c:pt idx="11">
                  <c:v>74</c:v>
                </c:pt>
                <c:pt idx="12">
                  <c:v>67</c:v>
                </c:pt>
                <c:pt idx="13">
                  <c:v>80</c:v>
                </c:pt>
                <c:pt idx="14">
                  <c:v>77</c:v>
                </c:pt>
                <c:pt idx="15">
                  <c:v>85</c:v>
                </c:pt>
                <c:pt idx="16">
                  <c:v>75</c:v>
                </c:pt>
                <c:pt idx="17">
                  <c:v>86</c:v>
                </c:pt>
                <c:pt idx="18">
                  <c:v>68</c:v>
                </c:pt>
                <c:pt idx="19">
                  <c:v>75</c:v>
                </c:pt>
                <c:pt idx="20">
                  <c:v>70</c:v>
                </c:pt>
                <c:pt idx="21">
                  <c:v>59</c:v>
                </c:pt>
                <c:pt idx="22">
                  <c:v>80</c:v>
                </c:pt>
                <c:pt idx="23">
                  <c:v>66</c:v>
                </c:pt>
                <c:pt idx="24">
                  <c:v>69</c:v>
                </c:pt>
                <c:pt idx="25">
                  <c:v>63</c:v>
                </c:pt>
                <c:pt idx="26">
                  <c:v>62</c:v>
                </c:pt>
                <c:pt idx="27">
                  <c:v>92</c:v>
                </c:pt>
                <c:pt idx="28">
                  <c:v>63</c:v>
                </c:pt>
                <c:pt idx="29">
                  <c:v>57</c:v>
                </c:pt>
                <c:pt idx="30">
                  <c:v>80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Req3!$C$106:$AG$106</c:f>
              <c:numCache>
                <c:ptCount val="31"/>
                <c:pt idx="0">
                  <c:v>5233</c:v>
                </c:pt>
                <c:pt idx="1">
                  <c:v>5058</c:v>
                </c:pt>
                <c:pt idx="2">
                  <c:v>5204</c:v>
                </c:pt>
                <c:pt idx="3">
                  <c:v>5026</c:v>
                </c:pt>
                <c:pt idx="4">
                  <c:v>5295</c:v>
                </c:pt>
                <c:pt idx="5">
                  <c:v>5331</c:v>
                </c:pt>
                <c:pt idx="6">
                  <c:v>4960</c:v>
                </c:pt>
                <c:pt idx="7">
                  <c:v>4425</c:v>
                </c:pt>
                <c:pt idx="8">
                  <c:v>5880</c:v>
                </c:pt>
                <c:pt idx="9">
                  <c:v>5039</c:v>
                </c:pt>
                <c:pt idx="10">
                  <c:v>5240</c:v>
                </c:pt>
                <c:pt idx="11">
                  <c:v>5182</c:v>
                </c:pt>
                <c:pt idx="12">
                  <c:v>5053</c:v>
                </c:pt>
                <c:pt idx="13">
                  <c:v>5168</c:v>
                </c:pt>
                <c:pt idx="14">
                  <c:v>5079</c:v>
                </c:pt>
                <c:pt idx="15">
                  <c:v>5147</c:v>
                </c:pt>
                <c:pt idx="16">
                  <c:v>5192</c:v>
                </c:pt>
                <c:pt idx="17">
                  <c:v>5361</c:v>
                </c:pt>
                <c:pt idx="18">
                  <c:v>4997</c:v>
                </c:pt>
                <c:pt idx="19">
                  <c:v>4861</c:v>
                </c:pt>
                <c:pt idx="20">
                  <c:v>5381</c:v>
                </c:pt>
                <c:pt idx="21">
                  <c:v>4665</c:v>
                </c:pt>
                <c:pt idx="22">
                  <c:v>5373</c:v>
                </c:pt>
                <c:pt idx="23">
                  <c:v>5089</c:v>
                </c:pt>
                <c:pt idx="24">
                  <c:v>4854</c:v>
                </c:pt>
                <c:pt idx="25">
                  <c:v>5107</c:v>
                </c:pt>
                <c:pt idx="26">
                  <c:v>4648</c:v>
                </c:pt>
                <c:pt idx="27">
                  <c:v>5231</c:v>
                </c:pt>
                <c:pt idx="28">
                  <c:v>4924</c:v>
                </c:pt>
                <c:pt idx="29">
                  <c:v>4557</c:v>
                </c:pt>
                <c:pt idx="30">
                  <c:v>5218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Req3!$C$107:$AG$107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Req3!$C$109:$AG$109</c:f>
              <c:numCache>
                <c:ptCount val="31"/>
                <c:pt idx="0">
                  <c:v>11279</c:v>
                </c:pt>
                <c:pt idx="1">
                  <c:v>10824</c:v>
                </c:pt>
                <c:pt idx="2">
                  <c:v>11317</c:v>
                </c:pt>
                <c:pt idx="3">
                  <c:v>10929</c:v>
                </c:pt>
                <c:pt idx="4">
                  <c:v>11530</c:v>
                </c:pt>
                <c:pt idx="5">
                  <c:v>11575</c:v>
                </c:pt>
                <c:pt idx="6">
                  <c:v>10949</c:v>
                </c:pt>
                <c:pt idx="7">
                  <c:v>9754</c:v>
                </c:pt>
                <c:pt idx="8">
                  <c:v>12820</c:v>
                </c:pt>
                <c:pt idx="9">
                  <c:v>10996</c:v>
                </c:pt>
                <c:pt idx="10">
                  <c:v>11656</c:v>
                </c:pt>
                <c:pt idx="11">
                  <c:v>11206</c:v>
                </c:pt>
                <c:pt idx="12">
                  <c:v>10879</c:v>
                </c:pt>
                <c:pt idx="13">
                  <c:v>11188</c:v>
                </c:pt>
                <c:pt idx="14">
                  <c:v>10865</c:v>
                </c:pt>
                <c:pt idx="15">
                  <c:v>10770</c:v>
                </c:pt>
                <c:pt idx="16">
                  <c:v>11038</c:v>
                </c:pt>
                <c:pt idx="17">
                  <c:v>11124</c:v>
                </c:pt>
                <c:pt idx="18">
                  <c:v>10588</c:v>
                </c:pt>
                <c:pt idx="19">
                  <c:v>10278</c:v>
                </c:pt>
                <c:pt idx="20">
                  <c:v>11225</c:v>
                </c:pt>
                <c:pt idx="21">
                  <c:v>9783</c:v>
                </c:pt>
                <c:pt idx="22">
                  <c:v>11217</c:v>
                </c:pt>
                <c:pt idx="23">
                  <c:v>10783</c:v>
                </c:pt>
                <c:pt idx="24">
                  <c:v>9938</c:v>
                </c:pt>
                <c:pt idx="25">
                  <c:v>10621</c:v>
                </c:pt>
                <c:pt idx="26">
                  <c:v>9764</c:v>
                </c:pt>
                <c:pt idx="27">
                  <c:v>10856</c:v>
                </c:pt>
                <c:pt idx="28">
                  <c:v>10298</c:v>
                </c:pt>
                <c:pt idx="29">
                  <c:v>9786</c:v>
                </c:pt>
                <c:pt idx="30">
                  <c:v>11082</c:v>
                </c:pt>
              </c:numCache>
            </c:numRef>
          </c:val>
          <c:smooth val="0"/>
        </c:ser>
        <c:marker val="1"/>
        <c:axId val="19464234"/>
        <c:axId val="40960379"/>
      </c:lineChart>
      <c:dateAx>
        <c:axId val="1946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auto val="0"/>
        <c:noMultiLvlLbl val="0"/>
      </c:dateAx>
      <c:valAx>
        <c:axId val="40960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Nbre de boites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617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Parts de marché unitaires (%)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- 1943 médecins non visités au 16/01/07</a:t>
            </a:r>
          </a:p>
        </c:rich>
      </c:tx>
      <c:layout>
        <c:manualLayout>
          <c:xMode val="factor"/>
          <c:yMode val="factor"/>
          <c:x val="-0.06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25"/>
          <c:w val="0.767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Req3!$B$133</c:f>
              <c:strCache>
                <c:ptCount val="1"/>
                <c:pt idx="0">
                  <c:v>Simvastatine 10mg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Req3!$C$133:$AG$133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7.159733657907926E-05</c:v>
                </c:pt>
                <c:pt idx="18">
                  <c:v>0.0004908068108883604</c:v>
                </c:pt>
                <c:pt idx="19">
                  <c:v>0.0006125574272588055</c:v>
                </c:pt>
                <c:pt idx="20">
                  <c:v>0.0006537971852310656</c:v>
                </c:pt>
                <c:pt idx="21">
                  <c:v>0.0014434518004135294</c:v>
                </c:pt>
                <c:pt idx="22">
                  <c:v>0.0013843400749569503</c:v>
                </c:pt>
                <c:pt idx="23">
                  <c:v>0.0016668981803028198</c:v>
                </c:pt>
                <c:pt idx="24">
                  <c:v>0.0015863646425145724</c:v>
                </c:pt>
                <c:pt idx="25">
                  <c:v>0.0018715558174193325</c:v>
                </c:pt>
                <c:pt idx="26">
                  <c:v>0.0019368295589988081</c:v>
                </c:pt>
                <c:pt idx="27">
                  <c:v>0.002211148146925844</c:v>
                </c:pt>
                <c:pt idx="28">
                  <c:v>0.002412046449123049</c:v>
                </c:pt>
                <c:pt idx="29">
                  <c:v>0.0019860614595746218</c:v>
                </c:pt>
                <c:pt idx="30">
                  <c:v>0.0018569225442986183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Req3!$B$134</c:f>
              <c:strCache>
                <c:ptCount val="1"/>
                <c:pt idx="0">
                  <c:v>Simvastatine 20mg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Req3!$C$134:$AG$134</c:f>
              <c:numCache>
                <c:ptCount val="31"/>
                <c:pt idx="0">
                  <c:v>0.17008928571428572</c:v>
                </c:pt>
                <c:pt idx="1">
                  <c:v>0.1697993931220499</c:v>
                </c:pt>
                <c:pt idx="2">
                  <c:v>0.16762448257846724</c:v>
                </c:pt>
                <c:pt idx="3">
                  <c:v>0.16585667215815486</c:v>
                </c:pt>
                <c:pt idx="4">
                  <c:v>0.1638007995963203</c:v>
                </c:pt>
                <c:pt idx="5">
                  <c:v>0.16203828525208952</c:v>
                </c:pt>
                <c:pt idx="6">
                  <c:v>0.16133462594926481</c:v>
                </c:pt>
                <c:pt idx="7">
                  <c:v>0.15678310316815597</c:v>
                </c:pt>
                <c:pt idx="8">
                  <c:v>0.15546049993316402</c:v>
                </c:pt>
                <c:pt idx="9">
                  <c:v>0.15209905204101373</c:v>
                </c:pt>
                <c:pt idx="10">
                  <c:v>0.15118483412322276</c:v>
                </c:pt>
                <c:pt idx="11">
                  <c:v>0.15226568045126826</c:v>
                </c:pt>
                <c:pt idx="12">
                  <c:v>0.15134865134865136</c:v>
                </c:pt>
                <c:pt idx="13">
                  <c:v>0.1525480554313813</c:v>
                </c:pt>
                <c:pt idx="14">
                  <c:v>0.15050243605359317</c:v>
                </c:pt>
                <c:pt idx="15">
                  <c:v>0.1505404993909866</c:v>
                </c:pt>
                <c:pt idx="16">
                  <c:v>0.14961702754455738</c:v>
                </c:pt>
                <c:pt idx="17">
                  <c:v>0.14695353332856018</c:v>
                </c:pt>
                <c:pt idx="18">
                  <c:v>0.1496960773209499</c:v>
                </c:pt>
                <c:pt idx="19">
                  <c:v>0.14620980091883615</c:v>
                </c:pt>
                <c:pt idx="20">
                  <c:v>0.14476446096142598</c:v>
                </c:pt>
                <c:pt idx="21">
                  <c:v>0.13939062926696055</c:v>
                </c:pt>
                <c:pt idx="22">
                  <c:v>0.14052739980416654</c:v>
                </c:pt>
                <c:pt idx="23">
                  <c:v>0.13908181691901653</c:v>
                </c:pt>
                <c:pt idx="24">
                  <c:v>0.13550505423153544</c:v>
                </c:pt>
                <c:pt idx="25">
                  <c:v>0.13686618375905452</c:v>
                </c:pt>
                <c:pt idx="26">
                  <c:v>0.13673271752085817</c:v>
                </c:pt>
                <c:pt idx="27">
                  <c:v>0.1325038777598099</c:v>
                </c:pt>
                <c:pt idx="28">
                  <c:v>0.12969918334998795</c:v>
                </c:pt>
                <c:pt idx="29">
                  <c:v>0.13122449716534865</c:v>
                </c:pt>
                <c:pt idx="30">
                  <c:v>0.12812765555660466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Req3!$B$135</c:f>
              <c:strCache>
                <c:ptCount val="1"/>
                <c:pt idx="0">
                  <c:v>Simvastatine 40mg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Req3!$C$135:$AG$135</c:f>
              <c:numCache>
                <c:ptCount val="31"/>
                <c:pt idx="0">
                  <c:v>0.026501623376623377</c:v>
                </c:pt>
                <c:pt idx="1">
                  <c:v>0.026298044504383007</c:v>
                </c:pt>
                <c:pt idx="2">
                  <c:v>0.026483944861953945</c:v>
                </c:pt>
                <c:pt idx="3">
                  <c:v>0.026400329489291597</c:v>
                </c:pt>
                <c:pt idx="4">
                  <c:v>0.026355626285758646</c:v>
                </c:pt>
                <c:pt idx="5">
                  <c:v>0.02811693563917883</c:v>
                </c:pt>
                <c:pt idx="6">
                  <c:v>0.027750848279205043</c:v>
                </c:pt>
                <c:pt idx="7">
                  <c:v>0.028567560249119956</c:v>
                </c:pt>
                <c:pt idx="8">
                  <c:v>0.027235663681326027</c:v>
                </c:pt>
                <c:pt idx="9">
                  <c:v>0.027664925517508224</c:v>
                </c:pt>
                <c:pt idx="10">
                  <c:v>0.029383886255924172</c:v>
                </c:pt>
                <c:pt idx="11">
                  <c:v>0.028054839553214538</c:v>
                </c:pt>
                <c:pt idx="12">
                  <c:v>0.028548374702220856</c:v>
                </c:pt>
                <c:pt idx="13">
                  <c:v>0.029615556548949484</c:v>
                </c:pt>
                <c:pt idx="14">
                  <c:v>0.029232643118148598</c:v>
                </c:pt>
                <c:pt idx="15">
                  <c:v>0.028623629719853837</c:v>
                </c:pt>
                <c:pt idx="16">
                  <c:v>0.0294962439239947</c:v>
                </c:pt>
                <c:pt idx="17">
                  <c:v>0.028531538626763085</c:v>
                </c:pt>
                <c:pt idx="18">
                  <c:v>0.027824970740363195</c:v>
                </c:pt>
                <c:pt idx="19">
                  <c:v>0.028330781010719754</c:v>
                </c:pt>
                <c:pt idx="20">
                  <c:v>0.028182099721275937</c:v>
                </c:pt>
                <c:pt idx="21">
                  <c:v>0.0269964498888152</c:v>
                </c:pt>
                <c:pt idx="22">
                  <c:v>0.026673869736975386</c:v>
                </c:pt>
                <c:pt idx="23">
                  <c:v>0.026218919294346436</c:v>
                </c:pt>
                <c:pt idx="24">
                  <c:v>0.025640079687154135</c:v>
                </c:pt>
                <c:pt idx="25">
                  <c:v>0.025231345094097666</c:v>
                </c:pt>
                <c:pt idx="26">
                  <c:v>0.02558849821215733</c:v>
                </c:pt>
                <c:pt idx="27">
                  <c:v>0.02458664730536946</c:v>
                </c:pt>
                <c:pt idx="28">
                  <c:v>0.024602873781055096</c:v>
                </c:pt>
                <c:pt idx="29">
                  <c:v>0.02383273751489546</c:v>
                </c:pt>
                <c:pt idx="30">
                  <c:v>0.02426588612973279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Req3!$B$136</c:f>
              <c:strCache>
                <c:ptCount val="1"/>
                <c:pt idx="0">
                  <c:v>Pravastatine 10mg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Req3!$C$136:$AG$136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0.00016501105574073463</c:v>
                </c:pt>
                <c:pt idx="28">
                  <c:v>0.0002756624513283484</c:v>
                </c:pt>
                <c:pt idx="29">
                  <c:v>0.000505542916982631</c:v>
                </c:pt>
                <c:pt idx="30">
                  <c:v>0.0007553583231045227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Req3!$B$137</c:f>
              <c:strCache>
                <c:ptCount val="1"/>
                <c:pt idx="0">
                  <c:v>Pravastatine 20mg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Req3!$C$137:$AG$137</c:f>
              <c:numCache>
                <c:ptCount val="31"/>
                <c:pt idx="0">
                  <c:v>0.19277597402597402</c:v>
                </c:pt>
                <c:pt idx="1">
                  <c:v>0.1919251517194875</c:v>
                </c:pt>
                <c:pt idx="2">
                  <c:v>0.1908130048627577</c:v>
                </c:pt>
                <c:pt idx="3">
                  <c:v>0.18892092257001647</c:v>
                </c:pt>
                <c:pt idx="4">
                  <c:v>0.18941893413034197</c:v>
                </c:pt>
                <c:pt idx="5">
                  <c:v>0.18734352732735046</c:v>
                </c:pt>
                <c:pt idx="6">
                  <c:v>0.18343027952819518</c:v>
                </c:pt>
                <c:pt idx="7">
                  <c:v>0.18571170683274663</c:v>
                </c:pt>
                <c:pt idx="8">
                  <c:v>0.17765004678518914</c:v>
                </c:pt>
                <c:pt idx="9">
                  <c:v>0.17802282840007738</c:v>
                </c:pt>
                <c:pt idx="10">
                  <c:v>0.177761574917973</c:v>
                </c:pt>
                <c:pt idx="11">
                  <c:v>0.1741193171205499</c:v>
                </c:pt>
                <c:pt idx="12">
                  <c:v>0.1724813647890571</c:v>
                </c:pt>
                <c:pt idx="13">
                  <c:v>0.17158396662196393</c:v>
                </c:pt>
                <c:pt idx="14">
                  <c:v>0.1686967113276492</c:v>
                </c:pt>
                <c:pt idx="15">
                  <c:v>0.16580389768574907</c:v>
                </c:pt>
                <c:pt idx="16">
                  <c:v>0.16449403446752098</c:v>
                </c:pt>
                <c:pt idx="17">
                  <c:v>0.1615235913224028</c:v>
                </c:pt>
                <c:pt idx="18">
                  <c:v>0.16053158153056216</c:v>
                </c:pt>
                <c:pt idx="19">
                  <c:v>0.15769525267993875</c:v>
                </c:pt>
                <c:pt idx="20">
                  <c:v>0.1526444375623688</c:v>
                </c:pt>
                <c:pt idx="21">
                  <c:v>0.15355206179534195</c:v>
                </c:pt>
                <c:pt idx="22">
                  <c:v>0.1503866022892258</c:v>
                </c:pt>
                <c:pt idx="23">
                  <c:v>0.14748576191137658</c:v>
                </c:pt>
                <c:pt idx="24">
                  <c:v>0.1457979783073858</c:v>
                </c:pt>
                <c:pt idx="25">
                  <c:v>0.14414445638235193</c:v>
                </c:pt>
                <c:pt idx="26">
                  <c:v>0.14019666269368294</c:v>
                </c:pt>
                <c:pt idx="27">
                  <c:v>0.1378502359658097</c:v>
                </c:pt>
                <c:pt idx="28">
                  <c:v>0.1357637572792116</c:v>
                </c:pt>
                <c:pt idx="29">
                  <c:v>0.1340772036254649</c:v>
                </c:pt>
                <c:pt idx="30">
                  <c:v>0.13379284297988858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Req3!$B$138</c:f>
              <c:strCache>
                <c:ptCount val="1"/>
                <c:pt idx="0">
                  <c:v>Pravastatine 40mg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Req3!$C$138:$AG$138</c:f>
              <c:numCache>
                <c:ptCount val="31"/>
                <c:pt idx="0">
                  <c:v>0.06838474025974026</c:v>
                </c:pt>
                <c:pt idx="1">
                  <c:v>0.06814733648010789</c:v>
                </c:pt>
                <c:pt idx="2">
                  <c:v>0.06988707149459471</c:v>
                </c:pt>
                <c:pt idx="3">
                  <c:v>0.06894563426688632</c:v>
                </c:pt>
                <c:pt idx="4">
                  <c:v>0.06796568722586656</c:v>
                </c:pt>
                <c:pt idx="5">
                  <c:v>0.06832800523822363</c:v>
                </c:pt>
                <c:pt idx="6">
                  <c:v>0.0697608660526741</c:v>
                </c:pt>
                <c:pt idx="7">
                  <c:v>0.06913981406264104</c:v>
                </c:pt>
                <c:pt idx="8">
                  <c:v>0.06807245020719155</c:v>
                </c:pt>
                <c:pt idx="9">
                  <c:v>0.06767266395821242</c:v>
                </c:pt>
                <c:pt idx="10">
                  <c:v>0.06660590594239883</c:v>
                </c:pt>
                <c:pt idx="11">
                  <c:v>0.06417871418431768</c:v>
                </c:pt>
                <c:pt idx="12">
                  <c:v>0.0656266810112964</c:v>
                </c:pt>
                <c:pt idx="13">
                  <c:v>0.06303084488153778</c:v>
                </c:pt>
                <c:pt idx="14">
                  <c:v>0.06512637028014616</c:v>
                </c:pt>
                <c:pt idx="15">
                  <c:v>0.06497411693057248</c:v>
                </c:pt>
                <c:pt idx="16">
                  <c:v>0.06285903667697747</c:v>
                </c:pt>
                <c:pt idx="17">
                  <c:v>0.06114412543853369</c:v>
                </c:pt>
                <c:pt idx="18">
                  <c:v>0.0611998338807717</c:v>
                </c:pt>
                <c:pt idx="19">
                  <c:v>0.06064318529862175</c:v>
                </c:pt>
                <c:pt idx="20">
                  <c:v>0.06001169952857782</c:v>
                </c:pt>
                <c:pt idx="21">
                  <c:v>0.06027386571997035</c:v>
                </c:pt>
                <c:pt idx="22">
                  <c:v>0.05976297396765371</c:v>
                </c:pt>
                <c:pt idx="23">
                  <c:v>0.058549798583136546</c:v>
                </c:pt>
                <c:pt idx="24">
                  <c:v>0.05463734966428097</c:v>
                </c:pt>
                <c:pt idx="25">
                  <c:v>0.05600804075832669</c:v>
                </c:pt>
                <c:pt idx="26">
                  <c:v>0.054007747318235995</c:v>
                </c:pt>
                <c:pt idx="27">
                  <c:v>0.05336457542655358</c:v>
                </c:pt>
                <c:pt idx="28">
                  <c:v>0.05344405775128355</c:v>
                </c:pt>
                <c:pt idx="29">
                  <c:v>0.05149315711551656</c:v>
                </c:pt>
                <c:pt idx="30">
                  <c:v>0.05029427501337614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Req3!$B$139</c:f>
              <c:strCache>
                <c:ptCount val="1"/>
                <c:pt idx="0">
                  <c:v>PRAVADUAL 40/81mg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Req3!$C$139:$AG$139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0.0014585359077649673</c:v>
                </c:pt>
                <c:pt idx="24">
                  <c:v>0.0034678668929388327</c:v>
                </c:pt>
                <c:pt idx="25">
                  <c:v>0.003985720722281912</c:v>
                </c:pt>
                <c:pt idx="26">
                  <c:v>0.005214541120381407</c:v>
                </c:pt>
                <c:pt idx="27">
                  <c:v>0.007590508564073793</c:v>
                </c:pt>
                <c:pt idx="28">
                  <c:v>0.008648909410426932</c:v>
                </c:pt>
                <c:pt idx="29">
                  <c:v>0.01025529917307623</c:v>
                </c:pt>
                <c:pt idx="30">
                  <c:v>0.009693765146508042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Req3!$B$140</c:f>
              <c:strCache>
                <c:ptCount val="1"/>
                <c:pt idx="0">
                  <c:v>Fluvastatine 20mg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Req3!$C$140:$AG$140</c:f>
              <c:numCache>
                <c:ptCount val="31"/>
                <c:pt idx="0">
                  <c:v>0.013717532467532467</c:v>
                </c:pt>
                <c:pt idx="1">
                  <c:v>0.013612609575185435</c:v>
                </c:pt>
                <c:pt idx="2">
                  <c:v>0.013583571112807941</c:v>
                </c:pt>
                <c:pt idx="3">
                  <c:v>0.013550247116968698</c:v>
                </c:pt>
                <c:pt idx="4">
                  <c:v>0.01257617513488336</c:v>
                </c:pt>
                <c:pt idx="5">
                  <c:v>0.01259484651234449</c:v>
                </c:pt>
                <c:pt idx="6">
                  <c:v>0.012724188075618032</c:v>
                </c:pt>
                <c:pt idx="7">
                  <c:v>0.011553389295062732</c:v>
                </c:pt>
                <c:pt idx="8">
                  <c:v>0.0125651650848817</c:v>
                </c:pt>
                <c:pt idx="9">
                  <c:v>0.01195589088798607</c:v>
                </c:pt>
                <c:pt idx="10">
                  <c:v>0.012504557054320088</c:v>
                </c:pt>
                <c:pt idx="11">
                  <c:v>0.01273861556277784</c:v>
                </c:pt>
                <c:pt idx="12">
                  <c:v>0.01237224314147391</c:v>
                </c:pt>
                <c:pt idx="13">
                  <c:v>0.012106988526300105</c:v>
                </c:pt>
                <c:pt idx="14">
                  <c:v>0.012522838002436053</c:v>
                </c:pt>
                <c:pt idx="15">
                  <c:v>0.01275121802679659</c:v>
                </c:pt>
                <c:pt idx="16">
                  <c:v>0.012814847547503314</c:v>
                </c:pt>
                <c:pt idx="17">
                  <c:v>0.012601131237917949</c:v>
                </c:pt>
                <c:pt idx="18">
                  <c:v>0.012685468342960698</c:v>
                </c:pt>
                <c:pt idx="19">
                  <c:v>0.012442572741194487</c:v>
                </c:pt>
                <c:pt idx="20">
                  <c:v>0.012903891813771034</c:v>
                </c:pt>
                <c:pt idx="21">
                  <c:v>0.012405883041391955</c:v>
                </c:pt>
                <c:pt idx="22">
                  <c:v>0.012087652361819225</c:v>
                </c:pt>
                <c:pt idx="23">
                  <c:v>0.012154465898041394</c:v>
                </c:pt>
                <c:pt idx="24">
                  <c:v>0.011510366708477828</c:v>
                </c:pt>
                <c:pt idx="25">
                  <c:v>0.01174921152046581</c:v>
                </c:pt>
                <c:pt idx="26">
                  <c:v>0.010950536352800954</c:v>
                </c:pt>
                <c:pt idx="27">
                  <c:v>0.011319758423814396</c:v>
                </c:pt>
                <c:pt idx="28">
                  <c:v>0.010819751214637676</c:v>
                </c:pt>
                <c:pt idx="29">
                  <c:v>0.01094139313183837</c:v>
                </c:pt>
                <c:pt idx="30">
                  <c:v>0.01073238284077676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Req3!$B$141</c:f>
              <c:strCache>
                <c:ptCount val="1"/>
                <c:pt idx="0">
                  <c:v>Fluvastatine 40mg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Req3!$C$141:$AG$141</c:f>
              <c:numCache>
                <c:ptCount val="31"/>
                <c:pt idx="0">
                  <c:v>0.024228896103896103</c:v>
                </c:pt>
                <c:pt idx="1">
                  <c:v>0.02448583951449764</c:v>
                </c:pt>
                <c:pt idx="2">
                  <c:v>0.02531849053570711</c:v>
                </c:pt>
                <c:pt idx="3">
                  <c:v>0.025370675453047775</c:v>
                </c:pt>
                <c:pt idx="4">
                  <c:v>0.02577339595543997</c:v>
                </c:pt>
                <c:pt idx="5">
                  <c:v>0.02472749682240111</c:v>
                </c:pt>
                <c:pt idx="6">
                  <c:v>0.024802068185490387</c:v>
                </c:pt>
                <c:pt idx="7">
                  <c:v>0.02468634353280982</c:v>
                </c:pt>
                <c:pt idx="8">
                  <c:v>0.024528806309316937</c:v>
                </c:pt>
                <c:pt idx="9">
                  <c:v>0.023602244147804218</c:v>
                </c:pt>
                <c:pt idx="10">
                  <c:v>0.023587313160772876</c:v>
                </c:pt>
                <c:pt idx="11">
                  <c:v>0.0236467555754791</c:v>
                </c:pt>
                <c:pt idx="12">
                  <c:v>0.02324598478444632</c:v>
                </c:pt>
                <c:pt idx="13">
                  <c:v>0.023357174787662048</c:v>
                </c:pt>
                <c:pt idx="14">
                  <c:v>0.02249543239951279</c:v>
                </c:pt>
                <c:pt idx="15">
                  <c:v>0.02264768574908648</c:v>
                </c:pt>
                <c:pt idx="16">
                  <c:v>0.022241861835321845</c:v>
                </c:pt>
                <c:pt idx="17">
                  <c:v>0.021693992983461016</c:v>
                </c:pt>
                <c:pt idx="18">
                  <c:v>0.021293464718541173</c:v>
                </c:pt>
                <c:pt idx="19">
                  <c:v>0.02155436447166922</c:v>
                </c:pt>
                <c:pt idx="20">
                  <c:v>0.021506486356285055</c:v>
                </c:pt>
                <c:pt idx="21">
                  <c:v>0.02094955721140717</c:v>
                </c:pt>
                <c:pt idx="22">
                  <c:v>0.02012357767498396</c:v>
                </c:pt>
                <c:pt idx="23">
                  <c:v>0.020350048617863593</c:v>
                </c:pt>
                <c:pt idx="24">
                  <c:v>0.020475171548734596</c:v>
                </c:pt>
                <c:pt idx="25">
                  <c:v>0.01996326205247288</c:v>
                </c:pt>
                <c:pt idx="26">
                  <c:v>0.01936829558998808</c:v>
                </c:pt>
                <c:pt idx="27">
                  <c:v>0.01891026698788819</c:v>
                </c:pt>
                <c:pt idx="28">
                  <c:v>0.019158540367320218</c:v>
                </c:pt>
                <c:pt idx="29">
                  <c:v>0.018560647094933738</c:v>
                </c:pt>
                <c:pt idx="30">
                  <c:v>0.017971233437195103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Req3!$B$142</c:f>
              <c:strCache>
                <c:ptCount val="1"/>
                <c:pt idx="0">
                  <c:v>Fluvastatine 80mg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Req3!$C$142:$AG$142</c:f>
              <c:numCache>
                <c:ptCount val="31"/>
                <c:pt idx="0">
                  <c:v>0.026258116883116883</c:v>
                </c:pt>
                <c:pt idx="1">
                  <c:v>0.025960890087660147</c:v>
                </c:pt>
                <c:pt idx="2">
                  <c:v>0.026524132942169352</c:v>
                </c:pt>
                <c:pt idx="3">
                  <c:v>0.027388797364085667</c:v>
                </c:pt>
                <c:pt idx="4">
                  <c:v>0.027481271591041415</c:v>
                </c:pt>
                <c:pt idx="5">
                  <c:v>0.02784732118784424</c:v>
                </c:pt>
                <c:pt idx="6">
                  <c:v>0.028679915979964454</c:v>
                </c:pt>
                <c:pt idx="7">
                  <c:v>0.028883473237656828</c:v>
                </c:pt>
                <c:pt idx="8">
                  <c:v>0.030176446999064296</c:v>
                </c:pt>
                <c:pt idx="9">
                  <c:v>0.028825691623137938</c:v>
                </c:pt>
                <c:pt idx="10">
                  <c:v>0.028581844695588773</c:v>
                </c:pt>
                <c:pt idx="11">
                  <c:v>0.028951399006313272</c:v>
                </c:pt>
                <c:pt idx="12">
                  <c:v>0.0283178360101437</c:v>
                </c:pt>
                <c:pt idx="13">
                  <c:v>0.02819997019818209</c:v>
                </c:pt>
                <c:pt idx="14">
                  <c:v>0.02866169305724726</c:v>
                </c:pt>
                <c:pt idx="15">
                  <c:v>0.02953714981729598</c:v>
                </c:pt>
                <c:pt idx="16">
                  <c:v>0.027544557372219766</c:v>
                </c:pt>
                <c:pt idx="17">
                  <c:v>0.029175914655974796</c:v>
                </c:pt>
                <c:pt idx="18">
                  <c:v>0.02869332125193491</c:v>
                </c:pt>
                <c:pt idx="19">
                  <c:v>0.02829249617151608</c:v>
                </c:pt>
                <c:pt idx="20">
                  <c:v>0.027872406317745433</c:v>
                </c:pt>
                <c:pt idx="21">
                  <c:v>0.02910310927320251</c:v>
                </c:pt>
                <c:pt idx="22">
                  <c:v>0.028497146908869907</c:v>
                </c:pt>
                <c:pt idx="23">
                  <c:v>0.027538547020419503</c:v>
                </c:pt>
                <c:pt idx="24">
                  <c:v>0.02704198332472515</c:v>
                </c:pt>
                <c:pt idx="25">
                  <c:v>0.025889855474300765</c:v>
                </c:pt>
                <c:pt idx="26">
                  <c:v>0.02745083432657926</c:v>
                </c:pt>
                <c:pt idx="27">
                  <c:v>0.026236757862776808</c:v>
                </c:pt>
                <c:pt idx="28">
                  <c:v>0.02711829364942628</c:v>
                </c:pt>
                <c:pt idx="29">
                  <c:v>0.0261076806413173</c:v>
                </c:pt>
                <c:pt idx="30">
                  <c:v>0.02511566424322538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Req3!$B$143</c:f>
              <c:strCache>
                <c:ptCount val="1"/>
                <c:pt idx="0">
                  <c:v>TAHOR 10mg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Req3!$C$143:$AG$143</c:f>
              <c:numCache>
                <c:ptCount val="31"/>
                <c:pt idx="0">
                  <c:v>0.1429383116883117</c:v>
                </c:pt>
                <c:pt idx="1">
                  <c:v>0.14459710047201618</c:v>
                </c:pt>
                <c:pt idx="2">
                  <c:v>0.1446770887754692</c:v>
                </c:pt>
                <c:pt idx="3">
                  <c:v>0.14744645799011533</c:v>
                </c:pt>
                <c:pt idx="4">
                  <c:v>0.14753716570275202</c:v>
                </c:pt>
                <c:pt idx="5">
                  <c:v>0.1486731117359319</c:v>
                </c:pt>
                <c:pt idx="6">
                  <c:v>0.15325577637744386</c:v>
                </c:pt>
                <c:pt idx="7">
                  <c:v>0.15118693022835997</c:v>
                </c:pt>
                <c:pt idx="8">
                  <c:v>0.15305440449137817</c:v>
                </c:pt>
                <c:pt idx="9">
                  <c:v>0.15372412458889534</c:v>
                </c:pt>
                <c:pt idx="10">
                  <c:v>0.15195041924899744</c:v>
                </c:pt>
                <c:pt idx="11">
                  <c:v>0.15413351264522396</c:v>
                </c:pt>
                <c:pt idx="12">
                  <c:v>0.1561131176515792</c:v>
                </c:pt>
                <c:pt idx="13">
                  <c:v>0.1516167486216659</c:v>
                </c:pt>
                <c:pt idx="14">
                  <c:v>0.15602161997563946</c:v>
                </c:pt>
                <c:pt idx="15">
                  <c:v>0.1540423264311815</c:v>
                </c:pt>
                <c:pt idx="16">
                  <c:v>0.16014877006922965</c:v>
                </c:pt>
                <c:pt idx="17">
                  <c:v>0.1601632419274003</c:v>
                </c:pt>
                <c:pt idx="18">
                  <c:v>0.16064484464076717</c:v>
                </c:pt>
                <c:pt idx="19">
                  <c:v>0.16129402756508424</c:v>
                </c:pt>
                <c:pt idx="20">
                  <c:v>0.15880389525480884</c:v>
                </c:pt>
                <c:pt idx="21">
                  <c:v>0.1586236492022003</c:v>
                </c:pt>
                <c:pt idx="22">
                  <c:v>0.15926663740419353</c:v>
                </c:pt>
                <c:pt idx="23">
                  <c:v>0.1601958605361856</c:v>
                </c:pt>
                <c:pt idx="24">
                  <c:v>0.1568287464030104</c:v>
                </c:pt>
                <c:pt idx="25">
                  <c:v>0.15894361071639</c:v>
                </c:pt>
                <c:pt idx="26">
                  <c:v>0.15919249106078665</c:v>
                </c:pt>
                <c:pt idx="27">
                  <c:v>0.15689251179829047</c:v>
                </c:pt>
                <c:pt idx="28">
                  <c:v>0.15623169429034148</c:v>
                </c:pt>
                <c:pt idx="29">
                  <c:v>0.15953490051637598</c:v>
                </c:pt>
                <c:pt idx="30">
                  <c:v>0.15793283605577063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Req3!$B$144</c:f>
              <c:strCache>
                <c:ptCount val="1"/>
                <c:pt idx="0">
                  <c:v>TAHOR 20mg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Req3!$C$144:$AG$144</c:f>
              <c:numCache>
                <c:ptCount val="31"/>
                <c:pt idx="0">
                  <c:v>0.05073051948051948</c:v>
                </c:pt>
                <c:pt idx="1">
                  <c:v>0.04998314227916386</c:v>
                </c:pt>
                <c:pt idx="2">
                  <c:v>0.051360366515291564</c:v>
                </c:pt>
                <c:pt idx="3">
                  <c:v>0.05111202635914333</c:v>
                </c:pt>
                <c:pt idx="4">
                  <c:v>0.051236269068043315</c:v>
                </c:pt>
                <c:pt idx="5">
                  <c:v>0.051111196703000426</c:v>
                </c:pt>
                <c:pt idx="6">
                  <c:v>0.050412021328162866</c:v>
                </c:pt>
                <c:pt idx="7">
                  <c:v>0.053389295062731296</c:v>
                </c:pt>
                <c:pt idx="8">
                  <c:v>0.0542708194091699</c:v>
                </c:pt>
                <c:pt idx="9">
                  <c:v>0.0555233120526214</c:v>
                </c:pt>
                <c:pt idx="10">
                  <c:v>0.05421071819176085</c:v>
                </c:pt>
                <c:pt idx="11">
                  <c:v>0.0534947140348911</c:v>
                </c:pt>
                <c:pt idx="12">
                  <c:v>0.05221701375547529</c:v>
                </c:pt>
                <c:pt idx="13">
                  <c:v>0.053904038146326924</c:v>
                </c:pt>
                <c:pt idx="14">
                  <c:v>0.05214677222898904</c:v>
                </c:pt>
                <c:pt idx="15">
                  <c:v>0.05290803897685749</c:v>
                </c:pt>
                <c:pt idx="16">
                  <c:v>0.05391073795846222</c:v>
                </c:pt>
                <c:pt idx="17">
                  <c:v>0.054843559819574714</c:v>
                </c:pt>
                <c:pt idx="18">
                  <c:v>0.05372446860724129</c:v>
                </c:pt>
                <c:pt idx="19">
                  <c:v>0.0531010719754977</c:v>
                </c:pt>
                <c:pt idx="20">
                  <c:v>0.05405870410515812</c:v>
                </c:pt>
                <c:pt idx="21">
                  <c:v>0.05227636250146296</c:v>
                </c:pt>
                <c:pt idx="22">
                  <c:v>0.054023027315393185</c:v>
                </c:pt>
                <c:pt idx="23">
                  <c:v>0.052125295179886094</c:v>
                </c:pt>
                <c:pt idx="24">
                  <c:v>0.05312476942374382</c:v>
                </c:pt>
                <c:pt idx="25">
                  <c:v>0.05261151353412123</c:v>
                </c:pt>
                <c:pt idx="26">
                  <c:v>0.05177294398092968</c:v>
                </c:pt>
                <c:pt idx="27">
                  <c:v>0.05250651793670176</c:v>
                </c:pt>
                <c:pt idx="28">
                  <c:v>0.053202853106371246</c:v>
                </c:pt>
                <c:pt idx="29">
                  <c:v>0.05102372440688983</c:v>
                </c:pt>
                <c:pt idx="30">
                  <c:v>0.05183646492304787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Req3!$B$145</c:f>
              <c:strCache>
                <c:ptCount val="1"/>
                <c:pt idx="0">
                  <c:v>TAHOR 40mg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Req3!$C$145:$AG$145</c:f>
              <c:numCache>
                <c:ptCount val="31"/>
                <c:pt idx="0">
                  <c:v>0.03896103896103896</c:v>
                </c:pt>
                <c:pt idx="1">
                  <c:v>0.03898347943358058</c:v>
                </c:pt>
                <c:pt idx="2">
                  <c:v>0.039223566290238314</c:v>
                </c:pt>
                <c:pt idx="3">
                  <c:v>0.03867380560131796</c:v>
                </c:pt>
                <c:pt idx="4">
                  <c:v>0.038892986065287426</c:v>
                </c:pt>
                <c:pt idx="5">
                  <c:v>0.03878596464199052</c:v>
                </c:pt>
                <c:pt idx="6">
                  <c:v>0.03914202617547261</c:v>
                </c:pt>
                <c:pt idx="7">
                  <c:v>0.03705208051268165</c:v>
                </c:pt>
                <c:pt idx="8">
                  <c:v>0.03953348482823152</c:v>
                </c:pt>
                <c:pt idx="9">
                  <c:v>0.03842135809634359</c:v>
                </c:pt>
                <c:pt idx="10">
                  <c:v>0.04006562158220926</c:v>
                </c:pt>
                <c:pt idx="11">
                  <c:v>0.03892562292203668</c:v>
                </c:pt>
                <c:pt idx="12">
                  <c:v>0.038461538461538464</c:v>
                </c:pt>
                <c:pt idx="13">
                  <c:v>0.041052004172254505</c:v>
                </c:pt>
                <c:pt idx="14">
                  <c:v>0.0389768574908648</c:v>
                </c:pt>
                <c:pt idx="15">
                  <c:v>0.0381394640682095</c:v>
                </c:pt>
                <c:pt idx="16">
                  <c:v>0.038555015466195316</c:v>
                </c:pt>
                <c:pt idx="17">
                  <c:v>0.0390205484355982</c:v>
                </c:pt>
                <c:pt idx="18">
                  <c:v>0.039830860422093856</c:v>
                </c:pt>
                <c:pt idx="19">
                  <c:v>0.039892802450229706</c:v>
                </c:pt>
                <c:pt idx="20">
                  <c:v>0.03974398678641478</c:v>
                </c:pt>
                <c:pt idx="21">
                  <c:v>0.04053368704404479</c:v>
                </c:pt>
                <c:pt idx="22">
                  <c:v>0.040348448526184286</c:v>
                </c:pt>
                <c:pt idx="23">
                  <c:v>0.03990137519099875</c:v>
                </c:pt>
                <c:pt idx="24">
                  <c:v>0.04157751051427728</c:v>
                </c:pt>
                <c:pt idx="25">
                  <c:v>0.040134474751325686</c:v>
                </c:pt>
                <c:pt idx="26">
                  <c:v>0.04071066746126341</c:v>
                </c:pt>
                <c:pt idx="27">
                  <c:v>0.039800666644665195</c:v>
                </c:pt>
                <c:pt idx="28">
                  <c:v>0.039798766410530304</c:v>
                </c:pt>
                <c:pt idx="29">
                  <c:v>0.04022677210847506</c:v>
                </c:pt>
                <c:pt idx="30">
                  <c:v>0.04025430396877852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Req3!$B$146</c:f>
              <c:strCache>
                <c:ptCount val="1"/>
                <c:pt idx="0">
                  <c:v>TAHOR 80mg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Req3!$C$146:$AG$146</c:f>
              <c:numCache>
                <c:ptCount val="31"/>
                <c:pt idx="0">
                  <c:v>0.0022727272727272726</c:v>
                </c:pt>
                <c:pt idx="1">
                  <c:v>0.0016014834794335806</c:v>
                </c:pt>
                <c:pt idx="2">
                  <c:v>0.0023309086524936702</c:v>
                </c:pt>
                <c:pt idx="3">
                  <c:v>0.0026359143327841844</c:v>
                </c:pt>
                <c:pt idx="4">
                  <c:v>0.002561813453402166</c:v>
                </c:pt>
                <c:pt idx="5">
                  <c:v>0.0030813080152524747</c:v>
                </c:pt>
                <c:pt idx="6">
                  <c:v>0.002746808854419131</c:v>
                </c:pt>
                <c:pt idx="7">
                  <c:v>0.002798086469898005</c:v>
                </c:pt>
                <c:pt idx="8">
                  <c:v>0.0034754711936906832</c:v>
                </c:pt>
                <c:pt idx="9">
                  <c:v>0.0033275295028051847</c:v>
                </c:pt>
                <c:pt idx="10">
                  <c:v>0.002989427633977397</c:v>
                </c:pt>
                <c:pt idx="11">
                  <c:v>0.0034368112368784788</c:v>
                </c:pt>
                <c:pt idx="12">
                  <c:v>0.003458080381157304</c:v>
                </c:pt>
                <c:pt idx="13">
                  <c:v>0.0035017136045298763</c:v>
                </c:pt>
                <c:pt idx="14">
                  <c:v>0.00373020706455542</c:v>
                </c:pt>
                <c:pt idx="15">
                  <c:v>0.0038063337393422656</c:v>
                </c:pt>
                <c:pt idx="16">
                  <c:v>0.0037929002798644867</c:v>
                </c:pt>
                <c:pt idx="17">
                  <c:v>0.004081048185007517</c:v>
                </c:pt>
                <c:pt idx="18">
                  <c:v>0.004039717597311889</c:v>
                </c:pt>
                <c:pt idx="19">
                  <c:v>0.004211332312404288</c:v>
                </c:pt>
                <c:pt idx="20">
                  <c:v>0.004026014245896562</c:v>
                </c:pt>
                <c:pt idx="21">
                  <c:v>0.004369367612062576</c:v>
                </c:pt>
                <c:pt idx="22">
                  <c:v>0.004625721713880542</c:v>
                </c:pt>
                <c:pt idx="23">
                  <c:v>0.004410334768717878</c:v>
                </c:pt>
                <c:pt idx="24">
                  <c:v>0.00523869254039696</c:v>
                </c:pt>
                <c:pt idx="25">
                  <c:v>0.004817523307801615</c:v>
                </c:pt>
                <c:pt idx="26">
                  <c:v>0.005289034564958284</c:v>
                </c:pt>
                <c:pt idx="27">
                  <c:v>0.0049173294610738915</c:v>
                </c:pt>
                <c:pt idx="28">
                  <c:v>0.005754453671479274</c:v>
                </c:pt>
                <c:pt idx="29">
                  <c:v>0.005849853753656159</c:v>
                </c:pt>
                <c:pt idx="30">
                  <c:v>0.006389072482925755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Req3!$B$147</c:f>
              <c:strCache>
                <c:ptCount val="1"/>
                <c:pt idx="0">
                  <c:v>CRESTOR 5mg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Req3!$C$147:$AG$147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0.006967840735068912</c:v>
                </c:pt>
                <c:pt idx="20">
                  <c:v>0.01531261828567496</c:v>
                </c:pt>
                <c:pt idx="21">
                  <c:v>0.02196387469277884</c:v>
                </c:pt>
                <c:pt idx="22">
                  <c:v>0.026606340952831143</c:v>
                </c:pt>
                <c:pt idx="23">
                  <c:v>0.03274760383386582</c:v>
                </c:pt>
                <c:pt idx="24">
                  <c:v>0.03774072161145134</c:v>
                </c:pt>
                <c:pt idx="25">
                  <c:v>0.03857484490347624</c:v>
                </c:pt>
                <c:pt idx="26">
                  <c:v>0.044658820023837906</c:v>
                </c:pt>
                <c:pt idx="27">
                  <c:v>0.04947031451107224</c:v>
                </c:pt>
                <c:pt idx="28">
                  <c:v>0.05433996071810068</c:v>
                </c:pt>
                <c:pt idx="29">
                  <c:v>0.05961795399559455</c:v>
                </c:pt>
                <c:pt idx="30">
                  <c:v>0.0615617033330186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Req3!$B$148</c:f>
              <c:strCache>
                <c:ptCount val="1"/>
                <c:pt idx="0">
                  <c:v>CRESTOR 10mg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Req3!$C$148:$AG$148</c:f>
              <c:numCache>
                <c:ptCount val="31"/>
                <c:pt idx="0">
                  <c:v>0.025</c:v>
                </c:pt>
                <c:pt idx="1">
                  <c:v>0.025960890087660147</c:v>
                </c:pt>
                <c:pt idx="2">
                  <c:v>0.027488646867339147</c:v>
                </c:pt>
                <c:pt idx="3">
                  <c:v>0.030930807248764416</c:v>
                </c:pt>
                <c:pt idx="4">
                  <c:v>0.034506850910220085</c:v>
                </c:pt>
                <c:pt idx="5">
                  <c:v>0.03551207487578477</c:v>
                </c:pt>
                <c:pt idx="6">
                  <c:v>0.037445467765390206</c:v>
                </c:pt>
                <c:pt idx="7">
                  <c:v>0.03736799350121852</c:v>
                </c:pt>
                <c:pt idx="8">
                  <c:v>0.03926614089025531</c:v>
                </c:pt>
                <c:pt idx="9">
                  <c:v>0.040549429289998065</c:v>
                </c:pt>
                <c:pt idx="10">
                  <c:v>0.041487422530076555</c:v>
                </c:pt>
                <c:pt idx="11">
                  <c:v>0.042437147446673394</c:v>
                </c:pt>
                <c:pt idx="12">
                  <c:v>0.04314915853377392</c:v>
                </c:pt>
                <c:pt idx="13">
                  <c:v>0.04328714051557145</c:v>
                </c:pt>
                <c:pt idx="14">
                  <c:v>0.043696711327649206</c:v>
                </c:pt>
                <c:pt idx="15">
                  <c:v>0.04403928136419001</c:v>
                </c:pt>
                <c:pt idx="16">
                  <c:v>0.04698777434084549</c:v>
                </c:pt>
                <c:pt idx="17">
                  <c:v>0.04822080618600988</c:v>
                </c:pt>
                <c:pt idx="18">
                  <c:v>0.04938271604938271</c:v>
                </c:pt>
                <c:pt idx="19">
                  <c:v>0.048889739663093415</c:v>
                </c:pt>
                <c:pt idx="20">
                  <c:v>0.04862186435428925</c:v>
                </c:pt>
                <c:pt idx="21">
                  <c:v>0.04673662856474076</c:v>
                </c:pt>
                <c:pt idx="22">
                  <c:v>0.04507546341628119</c:v>
                </c:pt>
                <c:pt idx="23">
                  <c:v>0.048027503819975</c:v>
                </c:pt>
                <c:pt idx="24">
                  <c:v>0.04943554932487272</c:v>
                </c:pt>
                <c:pt idx="25">
                  <c:v>0.048279208401206114</c:v>
                </c:pt>
                <c:pt idx="26">
                  <c:v>0.048569725864123954</c:v>
                </c:pt>
                <c:pt idx="27">
                  <c:v>0.04989934325599815</c:v>
                </c:pt>
                <c:pt idx="28">
                  <c:v>0.04796526653113263</c:v>
                </c:pt>
                <c:pt idx="29">
                  <c:v>0.04831545878019716</c:v>
                </c:pt>
                <c:pt idx="30">
                  <c:v>0.04862619204985365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Req3!$B$149</c:f>
              <c:strCache>
                <c:ptCount val="1"/>
                <c:pt idx="0">
                  <c:v>CRESTOR 20mg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Req3!$C$149:$AG$149</c:f>
              <c:numCache>
                <c:ptCount val="31"/>
                <c:pt idx="0">
                  <c:v>0.0024756493506493506</c:v>
                </c:pt>
                <c:pt idx="1">
                  <c:v>0.002191503708698584</c:v>
                </c:pt>
                <c:pt idx="2">
                  <c:v>0.0024514728931398946</c:v>
                </c:pt>
                <c:pt idx="3">
                  <c:v>0.0026359143327841844</c:v>
                </c:pt>
                <c:pt idx="4">
                  <c:v>0.003027597717657105</c:v>
                </c:pt>
                <c:pt idx="5">
                  <c:v>0.003004275314871163</c:v>
                </c:pt>
                <c:pt idx="6">
                  <c:v>0.0031103570851510744</c:v>
                </c:pt>
                <c:pt idx="7">
                  <c:v>0.0036104341547071035</c:v>
                </c:pt>
                <c:pt idx="8">
                  <c:v>0.0035088891859377087</c:v>
                </c:pt>
                <c:pt idx="9">
                  <c:v>0.0032888372992841944</c:v>
                </c:pt>
                <c:pt idx="10">
                  <c:v>0.004484141450966096</c:v>
                </c:pt>
                <c:pt idx="11">
                  <c:v>0.003997160895065187</c:v>
                </c:pt>
                <c:pt idx="12">
                  <c:v>0.003880734649965419</c:v>
                </c:pt>
                <c:pt idx="13">
                  <c:v>0.004805543138131426</c:v>
                </c:pt>
                <c:pt idx="14">
                  <c:v>0.00445341047503045</c:v>
                </c:pt>
                <c:pt idx="15">
                  <c:v>0.00430115712545676</c:v>
                </c:pt>
                <c:pt idx="16">
                  <c:v>0.0038665488289880688</c:v>
                </c:pt>
                <c:pt idx="17">
                  <c:v>0.004653826877640152</c:v>
                </c:pt>
                <c:pt idx="18">
                  <c:v>0.004681541888473591</c:v>
                </c:pt>
                <c:pt idx="19">
                  <c:v>0.00501531393568147</c:v>
                </c:pt>
                <c:pt idx="20">
                  <c:v>0.005092735969168301</c:v>
                </c:pt>
                <c:pt idx="21">
                  <c:v>0.005539733936722194</c:v>
                </c:pt>
                <c:pt idx="22">
                  <c:v>0.0055035959077556805</c:v>
                </c:pt>
                <c:pt idx="23">
                  <c:v>0.005973051812751771</c:v>
                </c:pt>
                <c:pt idx="24">
                  <c:v>0.005792075555227625</c:v>
                </c:pt>
                <c:pt idx="25">
                  <c:v>0.005753301216511282</c:v>
                </c:pt>
                <c:pt idx="26">
                  <c:v>0.006071215733015494</c:v>
                </c:pt>
                <c:pt idx="27">
                  <c:v>0.005874393584370152</c:v>
                </c:pt>
                <c:pt idx="28">
                  <c:v>0.006443609799800145</c:v>
                </c:pt>
                <c:pt idx="29">
                  <c:v>0.006174845628859279</c:v>
                </c:pt>
                <c:pt idx="30">
                  <c:v>0.006672331854089951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Req3!$B$150</c:f>
              <c:strCache>
                <c:ptCount val="1"/>
                <c:pt idx="0">
                  <c:v>EZETROL 10mg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Req3!$C$150:$AG$150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0.0017369526579415092</c:v>
                </c:pt>
                <c:pt idx="7">
                  <c:v>0.006453651051538948</c:v>
                </c:pt>
                <c:pt idx="8">
                  <c:v>0.011963641224435237</c:v>
                </c:pt>
                <c:pt idx="9">
                  <c:v>0.01772102921261366</c:v>
                </c:pt>
                <c:pt idx="10">
                  <c:v>0.02121764491432738</c:v>
                </c:pt>
                <c:pt idx="11">
                  <c:v>0.02327318913668796</c:v>
                </c:pt>
                <c:pt idx="12">
                  <c:v>0.02405287020671636</c:v>
                </c:pt>
                <c:pt idx="13">
                  <c:v>0.025890329310087914</c:v>
                </c:pt>
                <c:pt idx="14">
                  <c:v>0.027481729598051157</c:v>
                </c:pt>
                <c:pt idx="15">
                  <c:v>0.028737819732034105</c:v>
                </c:pt>
                <c:pt idx="16">
                  <c:v>0.029717189571365443</c:v>
                </c:pt>
                <c:pt idx="17">
                  <c:v>0.03232619746545429</c:v>
                </c:pt>
                <c:pt idx="18">
                  <c:v>0.03352588062068185</c:v>
                </c:pt>
                <c:pt idx="19">
                  <c:v>0.032695252679938745</c:v>
                </c:pt>
                <c:pt idx="20">
                  <c:v>0.033206014934104126</c:v>
                </c:pt>
                <c:pt idx="21">
                  <c:v>0.03456481878828073</c:v>
                </c:pt>
                <c:pt idx="22">
                  <c:v>0.03315663301482257</c:v>
                </c:pt>
                <c:pt idx="23">
                  <c:v>0.03299069315182664</c:v>
                </c:pt>
                <c:pt idx="24">
                  <c:v>0.03216999926215598</c:v>
                </c:pt>
                <c:pt idx="25">
                  <c:v>0.033410737185041416</c:v>
                </c:pt>
                <c:pt idx="26">
                  <c:v>0.03352205005959476</c:v>
                </c:pt>
                <c:pt idx="27">
                  <c:v>0.034817332761295006</c:v>
                </c:pt>
                <c:pt idx="28">
                  <c:v>0.03542262499569277</c:v>
                </c:pt>
                <c:pt idx="29">
                  <c:v>0.03535189398042827</c:v>
                </c:pt>
                <c:pt idx="30">
                  <c:v>0.036288672772479776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Req3!$B$151</c:f>
              <c:strCache>
                <c:ptCount val="1"/>
                <c:pt idx="0">
                  <c:v>INEGY 10/20mg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Req3!$C$151:$AG$151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0.0004530524408200249</c:v>
                </c:pt>
                <c:pt idx="19">
                  <c:v>0.002029096477794793</c:v>
                </c:pt>
                <c:pt idx="20">
                  <c:v>0.003441037817005609</c:v>
                </c:pt>
                <c:pt idx="21">
                  <c:v>0.004603440876994499</c:v>
                </c:pt>
                <c:pt idx="22">
                  <c:v>0.0051659519870344735</c:v>
                </c:pt>
                <c:pt idx="23">
                  <c:v>0.006598138630365328</c:v>
                </c:pt>
                <c:pt idx="24">
                  <c:v>0.006935733785877665</c:v>
                </c:pt>
                <c:pt idx="25">
                  <c:v>0.007902124562437182</c:v>
                </c:pt>
                <c:pt idx="26">
                  <c:v>0.008455005959475567</c:v>
                </c:pt>
                <c:pt idx="27">
                  <c:v>0.009900663344444078</c:v>
                </c:pt>
                <c:pt idx="28">
                  <c:v>0.010957582440301851</c:v>
                </c:pt>
                <c:pt idx="29">
                  <c:v>0.011808038132380023</c:v>
                </c:pt>
                <c:pt idx="30">
                  <c:v>0.012998457810090328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Req3!$B$152</c:f>
              <c:strCache>
                <c:ptCount val="1"/>
                <c:pt idx="0">
                  <c:v>INEGY 10/40mg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Req3!$C$152:$AG$152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7.550874013667082E-05</c:v>
                </c:pt>
                <c:pt idx="19">
                  <c:v>0.0011485451761102604</c:v>
                </c:pt>
                <c:pt idx="20">
                  <c:v>0.0015828773958225801</c:v>
                </c:pt>
                <c:pt idx="21">
                  <c:v>0.0023797448601412243</c:v>
                </c:pt>
                <c:pt idx="22">
                  <c:v>0.0026673869736975387</c:v>
                </c:pt>
                <c:pt idx="23">
                  <c:v>0.003507431587720517</c:v>
                </c:pt>
                <c:pt idx="24">
                  <c:v>0.0038736811038146534</c:v>
                </c:pt>
                <c:pt idx="25">
                  <c:v>0.004678889543548331</c:v>
                </c:pt>
                <c:pt idx="26">
                  <c:v>0.0048793206197854586</c:v>
                </c:pt>
                <c:pt idx="27">
                  <c:v>0.005511369261740537</c:v>
                </c:pt>
                <c:pt idx="28">
                  <c:v>0.006099031735639709</c:v>
                </c:pt>
                <c:pt idx="29">
                  <c:v>0.006499837504062398</c:v>
                </c:pt>
                <c:pt idx="30">
                  <c:v>0.007616529757970604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Req3!$B$153</c:f>
              <c:strCache>
                <c:ptCount val="1"/>
                <c:pt idx="0">
                  <c:v>LIPUR 450mg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Req3!$C$153:$AG$153</c:f>
              <c:numCache>
                <c:ptCount val="31"/>
                <c:pt idx="0">
                  <c:v>0.003287337662337662</c:v>
                </c:pt>
                <c:pt idx="1">
                  <c:v>0.003287255563047876</c:v>
                </c:pt>
                <c:pt idx="2">
                  <c:v>0.0030944821765864243</c:v>
                </c:pt>
                <c:pt idx="3">
                  <c:v>0.003130148270181219</c:v>
                </c:pt>
                <c:pt idx="4">
                  <c:v>0.0033381205604937313</c:v>
                </c:pt>
                <c:pt idx="5">
                  <c:v>0.00350498786734969</c:v>
                </c:pt>
                <c:pt idx="6">
                  <c:v>0.0033123283244465987</c:v>
                </c:pt>
                <c:pt idx="7">
                  <c:v>0.003113999458434877</c:v>
                </c:pt>
                <c:pt idx="8">
                  <c:v>0.0027402753642561156</c:v>
                </c:pt>
                <c:pt idx="9">
                  <c:v>0.0026310698394273555</c:v>
                </c:pt>
                <c:pt idx="10">
                  <c:v>0.002952971199416697</c:v>
                </c:pt>
                <c:pt idx="11">
                  <c:v>0.0027643916470544284</c:v>
                </c:pt>
                <c:pt idx="12">
                  <c:v>0.002574348728194882</c:v>
                </c:pt>
                <c:pt idx="13">
                  <c:v>0.0029801817910892563</c:v>
                </c:pt>
                <c:pt idx="14">
                  <c:v>0.0029308769792935445</c:v>
                </c:pt>
                <c:pt idx="15">
                  <c:v>0.0032353836784409255</c:v>
                </c:pt>
                <c:pt idx="16">
                  <c:v>0.002761820592134335</c:v>
                </c:pt>
                <c:pt idx="17">
                  <c:v>0.003078685472900408</c:v>
                </c:pt>
                <c:pt idx="18">
                  <c:v>0.002567297164646808</c:v>
                </c:pt>
                <c:pt idx="19">
                  <c:v>0.002871362940275651</c:v>
                </c:pt>
                <c:pt idx="20">
                  <c:v>0.002408726471903926</c:v>
                </c:pt>
                <c:pt idx="21">
                  <c:v>0.0023017204384972495</c:v>
                </c:pt>
                <c:pt idx="22">
                  <c:v>0.0027011513657696595</c:v>
                </c:pt>
                <c:pt idx="23">
                  <c:v>0.002291984997916377</c:v>
                </c:pt>
                <c:pt idx="24">
                  <c:v>0.002545561868221058</c:v>
                </c:pt>
                <c:pt idx="25">
                  <c:v>0.0021834817869892213</c:v>
                </c:pt>
                <c:pt idx="26">
                  <c:v>0.0023092967818831942</c:v>
                </c:pt>
                <c:pt idx="27">
                  <c:v>0.003036203425629517</c:v>
                </c:pt>
                <c:pt idx="28">
                  <c:v>0.0021708418042107437</c:v>
                </c:pt>
                <c:pt idx="29">
                  <c:v>0.002058281876286426</c:v>
                </c:pt>
                <c:pt idx="30">
                  <c:v>0.002517861077015076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Req3!$B$154</c:f>
              <c:strCache>
                <c:ptCount val="1"/>
                <c:pt idx="0">
                  <c:v>Fénofibrate 67mg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Req3!$C$154:$AG$154</c:f>
              <c:numCache>
                <c:ptCount val="31"/>
                <c:pt idx="0">
                  <c:v>0.013271103896103895</c:v>
                </c:pt>
                <c:pt idx="1">
                  <c:v>0.01078894133513149</c:v>
                </c:pt>
                <c:pt idx="2">
                  <c:v>0.011172286299883455</c:v>
                </c:pt>
                <c:pt idx="3">
                  <c:v>0.011079077429983526</c:v>
                </c:pt>
                <c:pt idx="4">
                  <c:v>0.010518961301090712</c:v>
                </c:pt>
                <c:pt idx="5">
                  <c:v>0.012055617609675308</c:v>
                </c:pt>
                <c:pt idx="6">
                  <c:v>0.010421715947649055</c:v>
                </c:pt>
                <c:pt idx="7">
                  <c:v>0.011688780575864248</c:v>
                </c:pt>
                <c:pt idx="8">
                  <c:v>0.010626921534554204</c:v>
                </c:pt>
                <c:pt idx="9">
                  <c:v>0.009324821048558715</c:v>
                </c:pt>
                <c:pt idx="10">
                  <c:v>0.01042654028436019</c:v>
                </c:pt>
                <c:pt idx="11">
                  <c:v>0.009899510627965184</c:v>
                </c:pt>
                <c:pt idx="12">
                  <c:v>0.010412664258818104</c:v>
                </c:pt>
                <c:pt idx="13">
                  <c:v>0.010169870362092088</c:v>
                </c:pt>
                <c:pt idx="14">
                  <c:v>0.009706151035322777</c:v>
                </c:pt>
                <c:pt idx="15">
                  <c:v>0.011228684531059683</c:v>
                </c:pt>
                <c:pt idx="16">
                  <c:v>0.009942554131683606</c:v>
                </c:pt>
                <c:pt idx="17">
                  <c:v>0.010131023125939715</c:v>
                </c:pt>
                <c:pt idx="18">
                  <c:v>0.009853890587835541</c:v>
                </c:pt>
                <c:pt idx="19">
                  <c:v>0.009264931087289433</c:v>
                </c:pt>
                <c:pt idx="20">
                  <c:v>0.009187570971404976</c:v>
                </c:pt>
                <c:pt idx="21">
                  <c:v>0.009870089337962783</c:v>
                </c:pt>
                <c:pt idx="22">
                  <c:v>0.00952155856433805</c:v>
                </c:pt>
                <c:pt idx="23">
                  <c:v>0.00878594249201278</c:v>
                </c:pt>
                <c:pt idx="24">
                  <c:v>0.008891020438279348</c:v>
                </c:pt>
                <c:pt idx="25">
                  <c:v>0.008422001178386996</c:v>
                </c:pt>
                <c:pt idx="26">
                  <c:v>0.009572407628128724</c:v>
                </c:pt>
                <c:pt idx="27">
                  <c:v>0.008250552787036732</c:v>
                </c:pt>
                <c:pt idx="28">
                  <c:v>0.00871782502325902</c:v>
                </c:pt>
                <c:pt idx="29">
                  <c:v>0.008558119380348825</c:v>
                </c:pt>
                <c:pt idx="30">
                  <c:v>0.00827746829068706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Req3!$B$155</c:f>
              <c:strCache>
                <c:ptCount val="1"/>
                <c:pt idx="0">
                  <c:v>Fénofibrate 100mg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Req3!$C$155:$AG$155</c:f>
              <c:numCache>
                <c:ptCount val="31"/>
                <c:pt idx="0">
                  <c:v>0.004626623376623376</c:v>
                </c:pt>
                <c:pt idx="1">
                  <c:v>0.005141604855023601</c:v>
                </c:pt>
                <c:pt idx="2">
                  <c:v>0.005023510026926014</c:v>
                </c:pt>
                <c:pt idx="3">
                  <c:v>0.004736408566721581</c:v>
                </c:pt>
                <c:pt idx="4">
                  <c:v>0.00492955013003144</c:v>
                </c:pt>
                <c:pt idx="5">
                  <c:v>0.004698994723260024</c:v>
                </c:pt>
                <c:pt idx="6">
                  <c:v>0.005089675230247213</c:v>
                </c:pt>
                <c:pt idx="7">
                  <c:v>0.004377651412582363</c:v>
                </c:pt>
                <c:pt idx="8">
                  <c:v>0.004945862852559818</c:v>
                </c:pt>
                <c:pt idx="9">
                  <c:v>0.004952602050686787</c:v>
                </c:pt>
                <c:pt idx="10">
                  <c:v>0.004958075100255195</c:v>
                </c:pt>
                <c:pt idx="11">
                  <c:v>0.005117860211438605</c:v>
                </c:pt>
                <c:pt idx="12">
                  <c:v>0.004649196956889264</c:v>
                </c:pt>
                <c:pt idx="13">
                  <c:v>0.005364327223960662</c:v>
                </c:pt>
                <c:pt idx="14">
                  <c:v>0.0051766138855054815</c:v>
                </c:pt>
                <c:pt idx="15">
                  <c:v>0.005519183922046285</c:v>
                </c:pt>
                <c:pt idx="16">
                  <c:v>0.005302695536897923</c:v>
                </c:pt>
                <c:pt idx="17">
                  <c:v>0.005262404238562325</c:v>
                </c:pt>
                <c:pt idx="18">
                  <c:v>0.005323366179635293</c:v>
                </c:pt>
                <c:pt idx="19">
                  <c:v>0.005474732006125574</c:v>
                </c:pt>
                <c:pt idx="20">
                  <c:v>0.005712122776229311</c:v>
                </c:pt>
                <c:pt idx="21">
                  <c:v>0.005500721725900206</c:v>
                </c:pt>
                <c:pt idx="22">
                  <c:v>0.0058412398284768885</c:v>
                </c:pt>
                <c:pt idx="23">
                  <c:v>0.005973051812751771</c:v>
                </c:pt>
                <c:pt idx="24">
                  <c:v>0.005828967756216336</c:v>
                </c:pt>
                <c:pt idx="25">
                  <c:v>0.005961251862891207</c:v>
                </c:pt>
                <c:pt idx="26">
                  <c:v>0.005512514898688915</c:v>
                </c:pt>
                <c:pt idx="27">
                  <c:v>0.005280353783703508</c:v>
                </c:pt>
                <c:pt idx="28">
                  <c:v>0.0058922848971434474</c:v>
                </c:pt>
                <c:pt idx="29">
                  <c:v>0.00538042104502943</c:v>
                </c:pt>
                <c:pt idx="30">
                  <c:v>0.005381928052119725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Req3!$B$156</c:f>
              <c:strCache>
                <c:ptCount val="1"/>
                <c:pt idx="0">
                  <c:v>Fénofibrate 140mg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Req3!$C$156:$AG$156</c:f>
              <c:numCache>
                <c:ptCount val="31"/>
                <c:pt idx="0">
                  <c:v>0.0017857142857142857</c:v>
                </c:pt>
                <c:pt idx="1">
                  <c:v>0.0016857720836142953</c:v>
                </c:pt>
                <c:pt idx="2">
                  <c:v>0.001406582807539284</c:v>
                </c:pt>
                <c:pt idx="3">
                  <c:v>0.001441515650741351</c:v>
                </c:pt>
                <c:pt idx="4">
                  <c:v>0.0015914295695377092</c:v>
                </c:pt>
                <c:pt idx="5">
                  <c:v>0.0014251049570542696</c:v>
                </c:pt>
                <c:pt idx="6">
                  <c:v>0.0015349814186459848</c:v>
                </c:pt>
                <c:pt idx="7">
                  <c:v>0.0013539128080151638</c:v>
                </c:pt>
                <c:pt idx="8">
                  <c:v>0.001303301697634006</c:v>
                </c:pt>
                <c:pt idx="9">
                  <c:v>0.0011994583091507062</c:v>
                </c:pt>
                <c:pt idx="10">
                  <c:v>0.0011301494713816989</c:v>
                </c:pt>
                <c:pt idx="11">
                  <c:v>0.0012327692480107587</c:v>
                </c:pt>
                <c:pt idx="12">
                  <c:v>0.0011142703450395758</c:v>
                </c:pt>
                <c:pt idx="13">
                  <c:v>0.001266577261212934</c:v>
                </c:pt>
                <c:pt idx="14">
                  <c:v>0.001218026796589525</c:v>
                </c:pt>
                <c:pt idx="15">
                  <c:v>0.0013322168087697929</c:v>
                </c:pt>
                <c:pt idx="16">
                  <c:v>0.0011783767859773163</c:v>
                </c:pt>
                <c:pt idx="17">
                  <c:v>0.0011813560535548077</c:v>
                </c:pt>
                <c:pt idx="18">
                  <c:v>0.0011703854721183977</c:v>
                </c:pt>
                <c:pt idx="19">
                  <c:v>0.000995405819295559</c:v>
                </c:pt>
                <c:pt idx="20">
                  <c:v>0.0010667217232717388</c:v>
                </c:pt>
                <c:pt idx="21">
                  <c:v>0.001092341903015644</c:v>
                </c:pt>
                <c:pt idx="22">
                  <c:v>0.001046696154235743</c:v>
                </c:pt>
                <c:pt idx="23">
                  <c:v>0.0008681761355743853</c:v>
                </c:pt>
                <c:pt idx="24">
                  <c:v>0.0008116284217516418</c:v>
                </c:pt>
                <c:pt idx="25">
                  <c:v>0.0006585103802030985</c:v>
                </c:pt>
                <c:pt idx="26">
                  <c:v>0.0008566746126340882</c:v>
                </c:pt>
                <c:pt idx="27">
                  <c:v>0.0009240619121481139</c:v>
                </c:pt>
                <c:pt idx="28">
                  <c:v>0.0007580717411529582</c:v>
                </c:pt>
                <c:pt idx="29">
                  <c:v>0.0006138735420503376</c:v>
                </c:pt>
                <c:pt idx="30">
                  <c:v>0.000629465269253769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Req3!$B$157</c:f>
              <c:strCache>
                <c:ptCount val="1"/>
                <c:pt idx="0">
                  <c:v>Fénofibrate 145mg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Req3!$C$157:$AG$157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0.0016172877739926363</c:v>
                </c:pt>
                <c:pt idx="21">
                  <c:v>0.009401942808098935</c:v>
                </c:pt>
                <c:pt idx="22">
                  <c:v>0.017456190701286425</c:v>
                </c:pt>
                <c:pt idx="23">
                  <c:v>0.022989304070009722</c:v>
                </c:pt>
                <c:pt idx="24">
                  <c:v>0.030436065815686565</c:v>
                </c:pt>
                <c:pt idx="25">
                  <c:v>0.030846012546355665</c:v>
                </c:pt>
                <c:pt idx="26">
                  <c:v>0.03363379022646007</c:v>
                </c:pt>
                <c:pt idx="27">
                  <c:v>0.036764463219035676</c:v>
                </c:pt>
                <c:pt idx="28">
                  <c:v>0.03838599634747252</c:v>
                </c:pt>
                <c:pt idx="29">
                  <c:v>0.03975733939984834</c:v>
                </c:pt>
                <c:pt idx="30">
                  <c:v>0.040631983130330784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Req3!$B$158</c:f>
              <c:strCache>
                <c:ptCount val="1"/>
                <c:pt idx="0">
                  <c:v>Fénofibrate 160mg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Req3!$C$158:$AG$158</c:f>
              <c:numCache>
                <c:ptCount val="31"/>
                <c:pt idx="0">
                  <c:v>0.09553571428571428</c:v>
                </c:pt>
                <c:pt idx="1">
                  <c:v>0.0965104517869184</c:v>
                </c:pt>
                <c:pt idx="2">
                  <c:v>0.09416067194470121</c:v>
                </c:pt>
                <c:pt idx="3">
                  <c:v>0.09365733113673806</c:v>
                </c:pt>
                <c:pt idx="4">
                  <c:v>0.09533051275084424</c:v>
                </c:pt>
                <c:pt idx="5">
                  <c:v>0.09717675153102492</c:v>
                </c:pt>
                <c:pt idx="6">
                  <c:v>0.09355307804168686</c:v>
                </c:pt>
                <c:pt idx="7">
                  <c:v>0.09414207058398773</c:v>
                </c:pt>
                <c:pt idx="8">
                  <c:v>0.09186606068707392</c:v>
                </c:pt>
                <c:pt idx="9">
                  <c:v>0.09119752369897466</c:v>
                </c:pt>
                <c:pt idx="10">
                  <c:v>0.08760481224936201</c:v>
                </c:pt>
                <c:pt idx="11">
                  <c:v>0.09073928798236766</c:v>
                </c:pt>
                <c:pt idx="12">
                  <c:v>0.09290709290709291</c:v>
                </c:pt>
                <c:pt idx="13">
                  <c:v>0.09134257189688572</c:v>
                </c:pt>
                <c:pt idx="14">
                  <c:v>0.09005785627283801</c:v>
                </c:pt>
                <c:pt idx="15">
                  <c:v>0.09112362971985384</c:v>
                </c:pt>
                <c:pt idx="16">
                  <c:v>0.09066136397112977</c:v>
                </c:pt>
                <c:pt idx="17">
                  <c:v>0.08838691200687335</c:v>
                </c:pt>
                <c:pt idx="18">
                  <c:v>0.08660852493676142</c:v>
                </c:pt>
                <c:pt idx="19">
                  <c:v>0.08671516079632466</c:v>
                </c:pt>
                <c:pt idx="20">
                  <c:v>0.08440865765114759</c:v>
                </c:pt>
                <c:pt idx="21">
                  <c:v>0.07802442164397456</c:v>
                </c:pt>
                <c:pt idx="22">
                  <c:v>0.07029746429415538</c:v>
                </c:pt>
                <c:pt idx="23">
                  <c:v>0.06375885539658285</c:v>
                </c:pt>
                <c:pt idx="24">
                  <c:v>0.06065077842544086</c:v>
                </c:pt>
                <c:pt idx="25">
                  <c:v>0.058087547222125946</c:v>
                </c:pt>
                <c:pt idx="26">
                  <c:v>0.05445470798569726</c:v>
                </c:pt>
                <c:pt idx="27">
                  <c:v>0.052869542259331374</c:v>
                </c:pt>
                <c:pt idx="28">
                  <c:v>0.05030839736742359</c:v>
                </c:pt>
                <c:pt idx="29">
                  <c:v>0.04762936482143502</c:v>
                </c:pt>
                <c:pt idx="30">
                  <c:v>0.04777641393636106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Req3!$B$159</c:f>
              <c:strCache>
                <c:ptCount val="1"/>
                <c:pt idx="0">
                  <c:v>Fénofibrate 200mg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Req3!$C$159:$AG$159</c:f>
              <c:numCache>
                <c:ptCount val="31"/>
                <c:pt idx="0">
                  <c:v>0.08835227272727272</c:v>
                </c:pt>
                <c:pt idx="1">
                  <c:v>0.08744942683749157</c:v>
                </c:pt>
                <c:pt idx="2">
                  <c:v>0.0867660651850661</c:v>
                </c:pt>
                <c:pt idx="3">
                  <c:v>0.08500823723228995</c:v>
                </c:pt>
                <c:pt idx="4">
                  <c:v>0.08240499941776967</c:v>
                </c:pt>
                <c:pt idx="5">
                  <c:v>0.08099988445094942</c:v>
                </c:pt>
                <c:pt idx="6">
                  <c:v>0.08026337049604136</c:v>
                </c:pt>
                <c:pt idx="7">
                  <c:v>0.07924902969582093</c:v>
                </c:pt>
                <c:pt idx="8">
                  <c:v>0.07866595374949872</c:v>
                </c:pt>
                <c:pt idx="9">
                  <c:v>0.07761656026310698</c:v>
                </c:pt>
                <c:pt idx="10">
                  <c:v>0.07808968282901932</c:v>
                </c:pt>
                <c:pt idx="11">
                  <c:v>0.07770181926855692</c:v>
                </c:pt>
                <c:pt idx="12">
                  <c:v>0.0769999231537693</c:v>
                </c:pt>
                <c:pt idx="13">
                  <c:v>0.07599463567277603</c:v>
                </c:pt>
                <c:pt idx="14">
                  <c:v>0.07772533495736907</c:v>
                </c:pt>
                <c:pt idx="15">
                  <c:v>0.07806790499390986</c:v>
                </c:pt>
                <c:pt idx="16">
                  <c:v>0.0764471939902784</c:v>
                </c:pt>
                <c:pt idx="17">
                  <c:v>0.0783274862175127</c:v>
                </c:pt>
                <c:pt idx="18">
                  <c:v>0.07758523049042927</c:v>
                </c:pt>
                <c:pt idx="19">
                  <c:v>0.07488514548238898</c:v>
                </c:pt>
                <c:pt idx="20">
                  <c:v>0.07470493100719176</c:v>
                </c:pt>
                <c:pt idx="21">
                  <c:v>0.07158740685834666</c:v>
                </c:pt>
                <c:pt idx="22">
                  <c:v>0.07029746429415538</c:v>
                </c:pt>
                <c:pt idx="23">
                  <c:v>0.06782191971107099</c:v>
                </c:pt>
                <c:pt idx="24">
                  <c:v>0.06463513613222165</c:v>
                </c:pt>
                <c:pt idx="25">
                  <c:v>0.06515786919904343</c:v>
                </c:pt>
                <c:pt idx="26">
                  <c:v>0.06305870083432658</c:v>
                </c:pt>
                <c:pt idx="27">
                  <c:v>0.061549123791294014</c:v>
                </c:pt>
                <c:pt idx="28">
                  <c:v>0.05926742703559491</c:v>
                </c:pt>
                <c:pt idx="29">
                  <c:v>0.05741523128588452</c:v>
                </c:pt>
                <c:pt idx="30">
                  <c:v>0.055172630850092844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Req3!$B$160</c:f>
              <c:strCache>
                <c:ptCount val="1"/>
                <c:pt idx="0">
                  <c:v>Fénofibrate 300mg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Req3!$C$160:$AG$160</c:f>
              <c:numCache>
                <c:ptCount val="31"/>
                <c:pt idx="0">
                  <c:v>0.02207792207792208</c:v>
                </c:pt>
                <c:pt idx="1">
                  <c:v>0.022378624409979772</c:v>
                </c:pt>
                <c:pt idx="2">
                  <c:v>0.021781939476751194</c:v>
                </c:pt>
                <c:pt idx="3">
                  <c:v>0.022158154859967052</c:v>
                </c:pt>
                <c:pt idx="4">
                  <c:v>0.021270814734308894</c:v>
                </c:pt>
                <c:pt idx="5">
                  <c:v>0.021029927204098138</c:v>
                </c:pt>
                <c:pt idx="6">
                  <c:v>0.019914364194538698</c:v>
                </c:pt>
                <c:pt idx="7">
                  <c:v>0.020579474681830492</c:v>
                </c:pt>
                <c:pt idx="8">
                  <c:v>0.01971661542574522</c:v>
                </c:pt>
                <c:pt idx="9">
                  <c:v>0.020003869220352098</c:v>
                </c:pt>
                <c:pt idx="10">
                  <c:v>0.01924899744804958</c:v>
                </c:pt>
                <c:pt idx="11">
                  <c:v>0.01879039187119429</c:v>
                </c:pt>
                <c:pt idx="12">
                  <c:v>0.01848151848151848</c:v>
                </c:pt>
                <c:pt idx="13">
                  <c:v>0.018551631649530623</c:v>
                </c:pt>
                <c:pt idx="14">
                  <c:v>0.019145858708891596</c:v>
                </c:pt>
                <c:pt idx="15">
                  <c:v>0.019869062119366628</c:v>
                </c:pt>
                <c:pt idx="16">
                  <c:v>0.017602003240536162</c:v>
                </c:pt>
                <c:pt idx="17">
                  <c:v>0.018758502183718766</c:v>
                </c:pt>
                <c:pt idx="18">
                  <c:v>0.017971080152527654</c:v>
                </c:pt>
                <c:pt idx="19">
                  <c:v>0.018032159264931086</c:v>
                </c:pt>
                <c:pt idx="20">
                  <c:v>0.017652524001238772</c:v>
                </c:pt>
                <c:pt idx="21">
                  <c:v>0.01638512854523466</c:v>
                </c:pt>
                <c:pt idx="22">
                  <c:v>0.016477023331194923</c:v>
                </c:pt>
                <c:pt idx="23">
                  <c:v>0.015314627031532158</c:v>
                </c:pt>
                <c:pt idx="24">
                  <c:v>0.016712167047886077</c:v>
                </c:pt>
                <c:pt idx="25">
                  <c:v>0.016289467299760857</c:v>
                </c:pt>
                <c:pt idx="26">
                  <c:v>0.01560637663885578</c:v>
                </c:pt>
                <c:pt idx="27">
                  <c:v>0.01524702155044388</c:v>
                </c:pt>
                <c:pt idx="28">
                  <c:v>0.015058061403811033</c:v>
                </c:pt>
                <c:pt idx="29">
                  <c:v>0.013757989383598743</c:v>
                </c:pt>
                <c:pt idx="30">
                  <c:v>0.014635067510150127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Req3!$B$161</c:f>
              <c:strCache>
                <c:ptCount val="1"/>
                <c:pt idx="0">
                  <c:v>CADUET® (=TAHOR® 10mg)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Req3!$C$161:$AG$161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0.0004720989519403267</c:v>
                </c:pt>
              </c:numCache>
            </c:numRef>
          </c:val>
          <c:smooth val="0"/>
        </c:ser>
        <c:marker val="1"/>
        <c:axId val="33099092"/>
        <c:axId val="29456373"/>
      </c:lineChart>
      <c:dateAx>
        <c:axId val="3309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42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auto val="0"/>
        <c:noMultiLvlLbl val="0"/>
      </c:dateAx>
      <c:valAx>
        <c:axId val="294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Nbre boites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99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  <c:w val="0.175"/>
          <c:h val="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0.6495</cdr:x>
      <cdr:y>0.17525</cdr:y>
    </cdr:from>
    <cdr:to>
      <cdr:x>0.79775</cdr:x>
      <cdr:y>0.2455</cdr:y>
    </cdr:to>
    <cdr:sp>
      <cdr:nvSpPr>
        <cdr:cNvPr id="1" name="AutoShape 1"/>
        <cdr:cNvSpPr>
          <a:spLocks/>
        </cdr:cNvSpPr>
      </cdr:nvSpPr>
      <cdr:spPr>
        <a:xfrm rot="20848346">
          <a:off x="6000750" y="1000125"/>
          <a:ext cx="1371600" cy="400050"/>
        </a:xfrm>
        <a:prstGeom prst="curvedDownArrow">
          <a:avLst>
            <a:gd name="adj1" fmla="val 37060"/>
            <a:gd name="adj2" fmla="val -24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0.5995</cdr:x>
      <cdr:y>0.218</cdr:y>
    </cdr:from>
    <cdr:to>
      <cdr:x>0.65725</cdr:x>
      <cdr:y>0.27625</cdr:y>
    </cdr:to>
    <cdr:sp>
      <cdr:nvSpPr>
        <cdr:cNvPr id="2" name="TextBox 2"/>
        <cdr:cNvSpPr txBox="1">
          <a:spLocks noChangeArrowheads="1"/>
        </cdr:cNvSpPr>
      </cdr:nvSpPr>
      <cdr:spPr>
        <a:xfrm>
          <a:off x="5534025" y="1247775"/>
          <a:ext cx="533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+9,9%</a:t>
          </a:r>
        </a:p>
      </cdr:txBody>
    </cdr:sp>
  </cdr:relSizeAnchor>
  <cdr:relSizeAnchor xmlns:cdr="http://schemas.openxmlformats.org/drawingml/2006/chartDrawing">
    <cdr:from>
      <cdr:x>0.136</cdr:x>
      <cdr:y>0.218</cdr:y>
    </cdr:from>
    <cdr:to>
      <cdr:x>0.54375</cdr:x>
      <cdr:y>0.292</cdr:y>
    </cdr:to>
    <cdr:sp>
      <cdr:nvSpPr>
        <cdr:cNvPr id="3" name="TextBox 3"/>
        <cdr:cNvSpPr txBox="1">
          <a:spLocks noChangeArrowheads="1"/>
        </cdr:cNvSpPr>
      </cdr:nvSpPr>
      <cdr:spPr>
        <a:xfrm>
          <a:off x="1247775" y="1247775"/>
          <a:ext cx="37719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patientèle sous hypolipémiant a augmenté de +15,2% en un an et de 9,9% depuis août 2006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0.85525</cdr:x>
      <cdr:y>0.31175</cdr:y>
    </cdr:from>
    <cdr:to>
      <cdr:x>0.97225</cdr:x>
      <cdr:y>0.40425</cdr:y>
    </cdr:to>
    <cdr:sp>
      <cdr:nvSpPr>
        <cdr:cNvPr id="1" name="TextBox 2"/>
        <cdr:cNvSpPr txBox="1">
          <a:spLocks noChangeArrowheads="1"/>
        </cdr:cNvSpPr>
      </cdr:nvSpPr>
      <cdr:spPr>
        <a:xfrm>
          <a:off x="7896225" y="1790700"/>
          <a:ext cx="10763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-3,6% depuis  
   sept-06</a:t>
          </a:r>
        </a:p>
      </cdr:txBody>
    </cdr:sp>
  </cdr:relSizeAnchor>
  <cdr:relSizeAnchor xmlns:cdr="http://schemas.openxmlformats.org/drawingml/2006/chartDrawing">
    <cdr:from>
      <cdr:x>0.815</cdr:x>
      <cdr:y>0.3255</cdr:y>
    </cdr:from>
    <cdr:to>
      <cdr:x>0.836</cdr:x>
      <cdr:y>0.375</cdr:y>
    </cdr:to>
    <cdr:sp>
      <cdr:nvSpPr>
        <cdr:cNvPr id="2" name="AutoShape 3"/>
        <cdr:cNvSpPr>
          <a:spLocks/>
        </cdr:cNvSpPr>
      </cdr:nvSpPr>
      <cdr:spPr>
        <a:xfrm>
          <a:off x="7524750" y="1866900"/>
          <a:ext cx="190500" cy="2857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workbookViewId="0" topLeftCell="A1">
      <selection activeCell="A3" sqref="A3"/>
    </sheetView>
  </sheetViews>
  <sheetFormatPr defaultColWidth="11.421875" defaultRowHeight="12.75"/>
  <cols>
    <col min="2" max="2" width="26.8515625" style="0" bestFit="1" customWidth="1"/>
    <col min="3" max="18" width="11.7109375" style="0" bestFit="1" customWidth="1"/>
  </cols>
  <sheetData>
    <row r="1" ht="18">
      <c r="B1" s="21" t="s">
        <v>78</v>
      </c>
    </row>
    <row r="3" spans="1:22" s="70" customFormat="1" ht="39" thickBot="1">
      <c r="A3" s="72" t="s">
        <v>73</v>
      </c>
      <c r="B3" s="76" t="s">
        <v>0</v>
      </c>
      <c r="C3" s="76" t="s">
        <v>81</v>
      </c>
      <c r="D3" s="76" t="s">
        <v>82</v>
      </c>
      <c r="E3" s="76" t="s">
        <v>83</v>
      </c>
      <c r="F3" s="76" t="s">
        <v>84</v>
      </c>
      <c r="G3" s="76" t="s">
        <v>85</v>
      </c>
      <c r="H3" s="76" t="s">
        <v>86</v>
      </c>
      <c r="I3" s="76" t="s">
        <v>87</v>
      </c>
      <c r="J3" s="76" t="s">
        <v>88</v>
      </c>
      <c r="K3" s="76" t="s">
        <v>89</v>
      </c>
      <c r="L3" s="76" t="s">
        <v>90</v>
      </c>
      <c r="M3" s="76" t="s">
        <v>91</v>
      </c>
      <c r="N3" s="76" t="s">
        <v>92</v>
      </c>
      <c r="O3" s="76" t="s">
        <v>93</v>
      </c>
      <c r="P3" s="76" t="s">
        <v>94</v>
      </c>
      <c r="Q3" s="76" t="s">
        <v>95</v>
      </c>
      <c r="R3" s="76" t="s">
        <v>96</v>
      </c>
      <c r="S3" s="76" t="s">
        <v>97</v>
      </c>
      <c r="T3" s="76" t="s">
        <v>98</v>
      </c>
      <c r="U3" s="76" t="s">
        <v>99</v>
      </c>
      <c r="V3" s="76" t="s">
        <v>100</v>
      </c>
    </row>
    <row r="4" spans="1:22" ht="26.25" thickTop="1">
      <c r="A4" s="94">
        <v>1</v>
      </c>
      <c r="B4" s="77" t="s">
        <v>43</v>
      </c>
      <c r="C4" s="95">
        <v>0</v>
      </c>
      <c r="D4" s="95">
        <v>0</v>
      </c>
      <c r="E4" s="95">
        <v>0</v>
      </c>
      <c r="F4" s="95">
        <v>0</v>
      </c>
      <c r="G4" s="95">
        <v>0</v>
      </c>
      <c r="H4" s="95">
        <v>0</v>
      </c>
      <c r="I4" s="95">
        <v>10.764</v>
      </c>
      <c r="J4" s="95">
        <v>89.424</v>
      </c>
      <c r="K4" s="95">
        <v>187.128</v>
      </c>
      <c r="L4" s="95">
        <v>298.08</v>
      </c>
      <c r="M4" s="95">
        <v>517.5</v>
      </c>
      <c r="N4" s="95">
        <v>767.142</v>
      </c>
      <c r="O4" s="95">
        <v>1048.662</v>
      </c>
      <c r="P4" s="95">
        <v>1309.068</v>
      </c>
      <c r="Q4" s="95">
        <v>1646.064</v>
      </c>
      <c r="R4" s="95">
        <v>1957.806</v>
      </c>
      <c r="S4" s="95">
        <v>2373.462</v>
      </c>
      <c r="T4" s="95">
        <v>2799.468</v>
      </c>
      <c r="U4" s="95">
        <v>3125.286</v>
      </c>
      <c r="V4" s="95">
        <v>3413.43</v>
      </c>
    </row>
    <row r="5" spans="1:22" ht="25.5">
      <c r="A5" s="94">
        <v>2</v>
      </c>
      <c r="B5" s="77" t="s">
        <v>44</v>
      </c>
      <c r="C5" s="95">
        <v>900517.311</v>
      </c>
      <c r="D5" s="95">
        <v>885364.785</v>
      </c>
      <c r="E5" s="95">
        <v>875124.1235</v>
      </c>
      <c r="F5" s="95">
        <v>859298.6925</v>
      </c>
      <c r="G5" s="95">
        <v>845036.943</v>
      </c>
      <c r="H5" s="95">
        <v>828874.841</v>
      </c>
      <c r="I5" s="95">
        <v>813219.195</v>
      </c>
      <c r="J5" s="95">
        <v>799161.4005</v>
      </c>
      <c r="K5" s="95">
        <v>791449.6835</v>
      </c>
      <c r="L5" s="95">
        <v>767444.3815</v>
      </c>
      <c r="M5" s="95">
        <v>746860.177</v>
      </c>
      <c r="N5" s="95">
        <v>733009.817</v>
      </c>
      <c r="O5" s="95">
        <v>723745.3315</v>
      </c>
      <c r="P5" s="95">
        <v>713544.0785</v>
      </c>
      <c r="Q5" s="95">
        <v>705683.631</v>
      </c>
      <c r="R5" s="95">
        <v>696465.393</v>
      </c>
      <c r="S5" s="95">
        <v>693889.484</v>
      </c>
      <c r="T5" s="95">
        <v>685031.665</v>
      </c>
      <c r="U5" s="95">
        <v>674435.156</v>
      </c>
      <c r="V5" s="95">
        <v>671244.7055</v>
      </c>
    </row>
    <row r="6" spans="1:22" ht="25.5">
      <c r="A6" s="94">
        <v>3</v>
      </c>
      <c r="B6" s="77" t="s">
        <v>45</v>
      </c>
      <c r="C6" s="95">
        <v>292689.9765</v>
      </c>
      <c r="D6" s="95">
        <v>292685.283</v>
      </c>
      <c r="E6" s="95">
        <v>294619.5945</v>
      </c>
      <c r="F6" s="95">
        <v>294409.2195</v>
      </c>
      <c r="G6" s="95">
        <v>294038.9</v>
      </c>
      <c r="H6" s="95">
        <v>293740.375</v>
      </c>
      <c r="I6" s="95">
        <v>291398.7375</v>
      </c>
      <c r="J6" s="95">
        <v>288835</v>
      </c>
      <c r="K6" s="95">
        <v>287874.0875</v>
      </c>
      <c r="L6" s="95">
        <v>282382.4625</v>
      </c>
      <c r="M6" s="95">
        <v>276445.4125</v>
      </c>
      <c r="N6" s="95">
        <v>270632</v>
      </c>
      <c r="O6" s="95">
        <v>267137.2625</v>
      </c>
      <c r="P6" s="95">
        <v>262891.3</v>
      </c>
      <c r="Q6" s="95">
        <v>258867.2875</v>
      </c>
      <c r="R6" s="95">
        <v>254225.6875</v>
      </c>
      <c r="S6" s="95">
        <v>252413.5875</v>
      </c>
      <c r="T6" s="95">
        <v>248186.0625</v>
      </c>
      <c r="U6" s="95">
        <v>242474.5947</v>
      </c>
      <c r="V6" s="95">
        <v>241492.8769</v>
      </c>
    </row>
    <row r="7" spans="1:22" ht="25.5">
      <c r="A7" s="94">
        <v>4</v>
      </c>
      <c r="B7" s="77" t="s">
        <v>46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35.614</v>
      </c>
      <c r="T7" s="95">
        <v>92.103</v>
      </c>
      <c r="U7" s="95">
        <v>180.3185</v>
      </c>
      <c r="V7" s="95">
        <v>350.332</v>
      </c>
    </row>
    <row r="8" spans="1:22" ht="25.5">
      <c r="A8" s="94">
        <v>5</v>
      </c>
      <c r="B8" s="77" t="s">
        <v>47</v>
      </c>
      <c r="C8" s="95">
        <v>956682.3465</v>
      </c>
      <c r="D8" s="95">
        <v>952292.8515</v>
      </c>
      <c r="E8" s="95">
        <v>953046.723</v>
      </c>
      <c r="F8" s="95">
        <v>947696.2845</v>
      </c>
      <c r="G8" s="95">
        <v>943960.3605</v>
      </c>
      <c r="H8" s="95">
        <v>937419.258</v>
      </c>
      <c r="I8" s="95">
        <v>931858.512</v>
      </c>
      <c r="J8" s="95">
        <v>927861.591</v>
      </c>
      <c r="K8" s="95">
        <v>928301.619</v>
      </c>
      <c r="L8" s="95">
        <v>913966.197</v>
      </c>
      <c r="M8" s="95">
        <v>903382.8765</v>
      </c>
      <c r="N8" s="95">
        <v>895798.8645</v>
      </c>
      <c r="O8" s="95">
        <v>888961.1745</v>
      </c>
      <c r="P8" s="95">
        <v>877465.664</v>
      </c>
      <c r="Q8" s="95">
        <v>862438.814</v>
      </c>
      <c r="R8" s="95">
        <v>842058.9717</v>
      </c>
      <c r="S8" s="95">
        <v>826284.7181</v>
      </c>
      <c r="T8" s="95">
        <v>804073.5684</v>
      </c>
      <c r="U8" s="95">
        <v>777736.6616</v>
      </c>
      <c r="V8" s="95">
        <v>761469.8579</v>
      </c>
    </row>
    <row r="9" spans="1:22" ht="25.5">
      <c r="A9" s="94">
        <v>6</v>
      </c>
      <c r="B9" s="77" t="s">
        <v>48</v>
      </c>
      <c r="C9" s="95">
        <v>705310.3255</v>
      </c>
      <c r="D9" s="95">
        <v>706801.997</v>
      </c>
      <c r="E9" s="95">
        <v>709587.527</v>
      </c>
      <c r="F9" s="95">
        <v>708570.203</v>
      </c>
      <c r="G9" s="95">
        <v>709611.749</v>
      </c>
      <c r="H9" s="95">
        <v>708461.204</v>
      </c>
      <c r="I9" s="95">
        <v>707044.217</v>
      </c>
      <c r="J9" s="95">
        <v>703982.1525</v>
      </c>
      <c r="K9" s="95">
        <v>706458.852</v>
      </c>
      <c r="L9" s="95">
        <v>697587.5445</v>
      </c>
      <c r="M9" s="95">
        <v>691392.768</v>
      </c>
      <c r="N9" s="95">
        <v>690298.741</v>
      </c>
      <c r="O9" s="95">
        <v>689632.636</v>
      </c>
      <c r="P9" s="95">
        <v>679724.2135</v>
      </c>
      <c r="Q9" s="95">
        <v>671023.6475</v>
      </c>
      <c r="R9" s="95">
        <v>655202.6615</v>
      </c>
      <c r="S9" s="95">
        <v>642496.0813</v>
      </c>
      <c r="T9" s="95">
        <v>626770.3854</v>
      </c>
      <c r="U9" s="95">
        <v>606920.0482</v>
      </c>
      <c r="V9" s="95">
        <v>593092.9993</v>
      </c>
    </row>
    <row r="10" spans="1:22" ht="12.75">
      <c r="A10" s="94">
        <v>7</v>
      </c>
      <c r="B10" s="77" t="s">
        <v>49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1114.568</v>
      </c>
      <c r="P10" s="95">
        <v>3628.47</v>
      </c>
      <c r="Q10" s="95">
        <v>6742.524</v>
      </c>
      <c r="R10" s="95">
        <v>10579.21</v>
      </c>
      <c r="S10" s="95">
        <v>16790.2723</v>
      </c>
      <c r="T10" s="95">
        <v>23542.8579</v>
      </c>
      <c r="U10" s="95">
        <v>31287.2856</v>
      </c>
      <c r="V10" s="95">
        <v>39636.2536</v>
      </c>
    </row>
    <row r="11" spans="1:22" ht="25.5">
      <c r="A11" s="94">
        <v>8</v>
      </c>
      <c r="B11" s="77" t="s">
        <v>50</v>
      </c>
      <c r="C11" s="95">
        <v>48614.61</v>
      </c>
      <c r="D11" s="95">
        <v>48392.4</v>
      </c>
      <c r="E11" s="95">
        <v>48357.011</v>
      </c>
      <c r="F11" s="95">
        <v>48306.808</v>
      </c>
      <c r="G11" s="95">
        <v>48315.861</v>
      </c>
      <c r="H11" s="95">
        <v>48557.823</v>
      </c>
      <c r="I11" s="95">
        <v>48803.077</v>
      </c>
      <c r="J11" s="95">
        <v>49067.26</v>
      </c>
      <c r="K11" s="95">
        <v>49959.392</v>
      </c>
      <c r="L11" s="95">
        <v>50103.417</v>
      </c>
      <c r="M11" s="95">
        <v>50269.663</v>
      </c>
      <c r="N11" s="95">
        <v>50567.589</v>
      </c>
      <c r="O11" s="95">
        <v>50801.321</v>
      </c>
      <c r="P11" s="95">
        <v>50728.897</v>
      </c>
      <c r="Q11" s="95">
        <v>51038.9813</v>
      </c>
      <c r="R11" s="95">
        <v>50602.7063</v>
      </c>
      <c r="S11" s="95">
        <v>50942.6564</v>
      </c>
      <c r="T11" s="95">
        <v>50810.0667</v>
      </c>
      <c r="U11" s="95">
        <v>50523.2235</v>
      </c>
      <c r="V11" s="95">
        <v>50800.9284</v>
      </c>
    </row>
    <row r="12" spans="1:22" ht="25.5">
      <c r="A12" s="94">
        <v>9</v>
      </c>
      <c r="B12" s="77" t="s">
        <v>51</v>
      </c>
      <c r="C12" s="95">
        <v>124063.191</v>
      </c>
      <c r="D12" s="95">
        <v>124208.112</v>
      </c>
      <c r="E12" s="95">
        <v>125041.9485</v>
      </c>
      <c r="F12" s="95">
        <v>124626.6525</v>
      </c>
      <c r="G12" s="95">
        <v>124357.359</v>
      </c>
      <c r="H12" s="95">
        <v>123478.0995</v>
      </c>
      <c r="I12" s="95">
        <v>122883.2745</v>
      </c>
      <c r="J12" s="95">
        <v>122245.1895</v>
      </c>
      <c r="K12" s="95">
        <v>122602.0845</v>
      </c>
      <c r="L12" s="95">
        <v>120924.678</v>
      </c>
      <c r="M12" s="95">
        <v>119831.2815</v>
      </c>
      <c r="N12" s="95">
        <v>119052.6015</v>
      </c>
      <c r="O12" s="95">
        <v>118278.2475</v>
      </c>
      <c r="P12" s="95">
        <v>117434.6775</v>
      </c>
      <c r="Q12" s="95">
        <v>116468.235</v>
      </c>
      <c r="R12" s="95">
        <v>115127.7915</v>
      </c>
      <c r="S12" s="95">
        <v>114775.974</v>
      </c>
      <c r="T12" s="95">
        <v>114326.1165</v>
      </c>
      <c r="U12" s="95">
        <v>113107.583</v>
      </c>
      <c r="V12" s="95">
        <v>113587.1195</v>
      </c>
    </row>
    <row r="13" spans="1:22" ht="25.5">
      <c r="A13" s="94">
        <v>10</v>
      </c>
      <c r="B13" s="77" t="s">
        <v>52</v>
      </c>
      <c r="C13" s="95">
        <v>205277.97</v>
      </c>
      <c r="D13" s="95">
        <v>207501.225</v>
      </c>
      <c r="E13" s="95">
        <v>211013.01</v>
      </c>
      <c r="F13" s="95">
        <v>213396.945</v>
      </c>
      <c r="G13" s="95">
        <v>216315.45</v>
      </c>
      <c r="H13" s="95">
        <v>217305.795</v>
      </c>
      <c r="I13" s="95">
        <v>219672.735</v>
      </c>
      <c r="J13" s="95">
        <v>220968.99</v>
      </c>
      <c r="K13" s="95">
        <v>223337.475</v>
      </c>
      <c r="L13" s="95">
        <v>221194.56</v>
      </c>
      <c r="M13" s="95">
        <v>221600.895</v>
      </c>
      <c r="N13" s="95">
        <v>223547.595</v>
      </c>
      <c r="O13" s="95">
        <v>224429.79</v>
      </c>
      <c r="P13" s="95">
        <v>224409.3434</v>
      </c>
      <c r="Q13" s="95">
        <v>224305.8206</v>
      </c>
      <c r="R13" s="95">
        <v>224240.0911</v>
      </c>
      <c r="S13" s="95">
        <v>225457.0546</v>
      </c>
      <c r="T13" s="95">
        <v>227318.9841</v>
      </c>
      <c r="U13" s="95">
        <v>225918.4527</v>
      </c>
      <c r="V13" s="95">
        <v>227972.5496</v>
      </c>
    </row>
    <row r="14" spans="1:22" ht="12.75">
      <c r="A14" s="94">
        <v>11</v>
      </c>
      <c r="B14" s="77" t="s">
        <v>53</v>
      </c>
      <c r="C14" s="95">
        <v>804142.768</v>
      </c>
      <c r="D14" s="95">
        <v>814173.36</v>
      </c>
      <c r="E14" s="95">
        <v>825679.712</v>
      </c>
      <c r="F14" s="95">
        <v>834703.584</v>
      </c>
      <c r="G14" s="95">
        <v>843284.728</v>
      </c>
      <c r="H14" s="95">
        <v>853350.784</v>
      </c>
      <c r="I14" s="95">
        <v>864947.512</v>
      </c>
      <c r="J14" s="95">
        <v>873747.16</v>
      </c>
      <c r="K14" s="95">
        <v>889479.448</v>
      </c>
      <c r="L14" s="95">
        <v>891027.28</v>
      </c>
      <c r="M14" s="95">
        <v>893911.304</v>
      </c>
      <c r="N14" s="95">
        <v>904946.328</v>
      </c>
      <c r="O14" s="95">
        <v>914886.544</v>
      </c>
      <c r="P14" s="95">
        <v>919374.456</v>
      </c>
      <c r="Q14" s="95">
        <v>929853.496</v>
      </c>
      <c r="R14" s="95">
        <v>934217.856</v>
      </c>
      <c r="S14" s="95">
        <v>948108.8145</v>
      </c>
      <c r="T14" s="95">
        <v>952008.779</v>
      </c>
      <c r="U14" s="95">
        <v>938507.364</v>
      </c>
      <c r="V14" s="95">
        <v>937484.824</v>
      </c>
    </row>
    <row r="15" spans="1:22" ht="12.75">
      <c r="A15" s="94">
        <v>12</v>
      </c>
      <c r="B15" s="77" t="s">
        <v>54</v>
      </c>
      <c r="C15" s="95">
        <v>514060.9515</v>
      </c>
      <c r="D15" s="95">
        <v>518198.607</v>
      </c>
      <c r="E15" s="95">
        <v>527407.254</v>
      </c>
      <c r="F15" s="95">
        <v>531398.07</v>
      </c>
      <c r="G15" s="95">
        <v>537148.9485</v>
      </c>
      <c r="H15" s="95">
        <v>542308.446</v>
      </c>
      <c r="I15" s="95">
        <v>549712.7775</v>
      </c>
      <c r="J15" s="95">
        <v>556101.3015</v>
      </c>
      <c r="K15" s="95">
        <v>563364.828</v>
      </c>
      <c r="L15" s="95">
        <v>562731.2055</v>
      </c>
      <c r="M15" s="95">
        <v>560228.8995</v>
      </c>
      <c r="N15" s="95">
        <v>564310.233</v>
      </c>
      <c r="O15" s="95">
        <v>566651.619</v>
      </c>
      <c r="P15" s="95">
        <v>569992.7205</v>
      </c>
      <c r="Q15" s="95">
        <v>572167.152</v>
      </c>
      <c r="R15" s="95">
        <v>573138.7065</v>
      </c>
      <c r="S15" s="95">
        <v>580174.3675</v>
      </c>
      <c r="T15" s="95">
        <v>582935.3388</v>
      </c>
      <c r="U15" s="95">
        <v>576607.6111</v>
      </c>
      <c r="V15" s="95">
        <v>580765.9952</v>
      </c>
    </row>
    <row r="16" spans="1:22" ht="12.75">
      <c r="A16" s="94">
        <v>13</v>
      </c>
      <c r="B16" s="77" t="s">
        <v>55</v>
      </c>
      <c r="C16" s="95">
        <v>430169.246</v>
      </c>
      <c r="D16" s="95">
        <v>432145.974</v>
      </c>
      <c r="E16" s="95">
        <v>438712.768</v>
      </c>
      <c r="F16" s="95">
        <v>440534.12</v>
      </c>
      <c r="G16" s="95">
        <v>443207.882</v>
      </c>
      <c r="H16" s="95">
        <v>445102.606</v>
      </c>
      <c r="I16" s="95">
        <v>448794.944</v>
      </c>
      <c r="J16" s="95">
        <v>452744.084</v>
      </c>
      <c r="K16" s="95">
        <v>461110.65</v>
      </c>
      <c r="L16" s="95">
        <v>460655.312</v>
      </c>
      <c r="M16" s="95">
        <v>463231.964</v>
      </c>
      <c r="N16" s="95">
        <v>467392.588</v>
      </c>
      <c r="O16" s="95">
        <v>472198.454</v>
      </c>
      <c r="P16" s="95">
        <v>477284.86</v>
      </c>
      <c r="Q16" s="95">
        <v>480031.994</v>
      </c>
      <c r="R16" s="95">
        <v>483191.306</v>
      </c>
      <c r="S16" s="95">
        <v>491536.2156</v>
      </c>
      <c r="T16" s="95">
        <v>496736.2539</v>
      </c>
      <c r="U16" s="95">
        <v>498070.2827</v>
      </c>
      <c r="V16" s="95">
        <v>507131.1125</v>
      </c>
    </row>
    <row r="17" spans="1:22" ht="12.75">
      <c r="A17" s="94">
        <v>14</v>
      </c>
      <c r="B17" s="77" t="s">
        <v>56</v>
      </c>
      <c r="C17" s="95">
        <v>32905.184</v>
      </c>
      <c r="D17" s="95">
        <v>34312.2</v>
      </c>
      <c r="E17" s="95">
        <v>36427.04</v>
      </c>
      <c r="F17" s="95">
        <v>37853.478</v>
      </c>
      <c r="G17" s="95">
        <v>39137.488</v>
      </c>
      <c r="H17" s="95">
        <v>40391.286</v>
      </c>
      <c r="I17" s="95">
        <v>41552.29</v>
      </c>
      <c r="J17" s="95">
        <v>43045.626</v>
      </c>
      <c r="K17" s="95">
        <v>44819.502</v>
      </c>
      <c r="L17" s="95">
        <v>45203.626</v>
      </c>
      <c r="M17" s="95">
        <v>46146.672</v>
      </c>
      <c r="N17" s="95">
        <v>48280.934</v>
      </c>
      <c r="O17" s="95">
        <v>49763.48</v>
      </c>
      <c r="P17" s="95">
        <v>51753.156</v>
      </c>
      <c r="Q17" s="95">
        <v>53650.038</v>
      </c>
      <c r="R17" s="95">
        <v>55503.76</v>
      </c>
      <c r="S17" s="95">
        <v>57544.3913</v>
      </c>
      <c r="T17" s="95">
        <v>60249.6866</v>
      </c>
      <c r="U17" s="95">
        <v>62377.9592</v>
      </c>
      <c r="V17" s="95">
        <v>66173.822</v>
      </c>
    </row>
    <row r="18" spans="1:22" ht="12.75">
      <c r="A18" s="94">
        <v>15</v>
      </c>
      <c r="B18" s="77" t="s">
        <v>57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2646.5175</v>
      </c>
      <c r="L18" s="95">
        <v>9055.713</v>
      </c>
      <c r="M18" s="95">
        <v>17159.4345</v>
      </c>
      <c r="N18" s="95">
        <v>28529.553</v>
      </c>
      <c r="O18" s="95">
        <v>42308.427</v>
      </c>
      <c r="P18" s="95">
        <v>57317.5848</v>
      </c>
      <c r="Q18" s="95">
        <v>73492.2584</v>
      </c>
      <c r="R18" s="95">
        <v>90953.055</v>
      </c>
      <c r="S18" s="95">
        <v>112651.1252</v>
      </c>
      <c r="T18" s="95">
        <v>135541.1414</v>
      </c>
      <c r="U18" s="95">
        <v>159745.976</v>
      </c>
      <c r="V18" s="95">
        <v>188333.6687</v>
      </c>
    </row>
    <row r="19" spans="1:22" ht="12.75">
      <c r="A19" s="94">
        <v>16</v>
      </c>
      <c r="B19" s="77" t="s">
        <v>58</v>
      </c>
      <c r="C19" s="95">
        <v>233278.335</v>
      </c>
      <c r="D19" s="95">
        <v>244512.2475</v>
      </c>
      <c r="E19" s="95">
        <v>256680.8325</v>
      </c>
      <c r="F19" s="95">
        <v>266985.5625</v>
      </c>
      <c r="G19" s="95">
        <v>276325.425</v>
      </c>
      <c r="H19" s="95">
        <v>285331.77</v>
      </c>
      <c r="I19" s="95">
        <v>294958.485</v>
      </c>
      <c r="J19" s="95">
        <v>303931.89</v>
      </c>
      <c r="K19" s="95">
        <v>314177.6025</v>
      </c>
      <c r="L19" s="95">
        <v>320064.255</v>
      </c>
      <c r="M19" s="95">
        <v>323948.43</v>
      </c>
      <c r="N19" s="95">
        <v>328890.8025</v>
      </c>
      <c r="O19" s="95">
        <v>334899.6075</v>
      </c>
      <c r="P19" s="95">
        <v>340440.39</v>
      </c>
      <c r="Q19" s="95">
        <v>346243.32</v>
      </c>
      <c r="R19" s="95">
        <v>350403.3675</v>
      </c>
      <c r="S19" s="95">
        <v>358604.055</v>
      </c>
      <c r="T19" s="95">
        <v>361729.2375</v>
      </c>
      <c r="U19" s="95">
        <v>362178.045</v>
      </c>
      <c r="V19" s="95">
        <v>367884.9</v>
      </c>
    </row>
    <row r="20" spans="1:22" ht="12.75">
      <c r="A20" s="94">
        <v>17</v>
      </c>
      <c r="B20" s="77" t="s">
        <v>59</v>
      </c>
      <c r="C20" s="95">
        <v>33584.673</v>
      </c>
      <c r="D20" s="95">
        <v>35068.941</v>
      </c>
      <c r="E20" s="95">
        <v>37811.52</v>
      </c>
      <c r="F20" s="95">
        <v>39770.505</v>
      </c>
      <c r="G20" s="95">
        <v>41553.285</v>
      </c>
      <c r="H20" s="95">
        <v>42498.573</v>
      </c>
      <c r="I20" s="95">
        <v>44480.361</v>
      </c>
      <c r="J20" s="95">
        <v>46240.338</v>
      </c>
      <c r="K20" s="95">
        <v>48267.732</v>
      </c>
      <c r="L20" s="95">
        <v>49847.358</v>
      </c>
      <c r="M20" s="95">
        <v>51893.409</v>
      </c>
      <c r="N20" s="95">
        <v>53595.342</v>
      </c>
      <c r="O20" s="95">
        <v>55927.467</v>
      </c>
      <c r="P20" s="95">
        <v>57990.102</v>
      </c>
      <c r="Q20" s="95">
        <v>59468.151</v>
      </c>
      <c r="R20" s="95">
        <v>61244.712</v>
      </c>
      <c r="S20" s="95">
        <v>63593.421</v>
      </c>
      <c r="T20" s="95">
        <v>66617.928</v>
      </c>
      <c r="U20" s="95">
        <v>68205.846</v>
      </c>
      <c r="V20" s="95">
        <v>71421.069</v>
      </c>
    </row>
    <row r="21" spans="1:22" ht="12.75">
      <c r="A21" s="94">
        <v>18</v>
      </c>
      <c r="B21" s="77" t="s">
        <v>60</v>
      </c>
      <c r="C21" s="95">
        <v>79623.661</v>
      </c>
      <c r="D21" s="95">
        <v>102365.8675</v>
      </c>
      <c r="E21" s="95">
        <v>127873.317</v>
      </c>
      <c r="F21" s="95">
        <v>154010.051</v>
      </c>
      <c r="G21" s="95">
        <v>181824.877</v>
      </c>
      <c r="H21" s="95">
        <v>211308.773</v>
      </c>
      <c r="I21" s="95">
        <v>244117.276</v>
      </c>
      <c r="J21" s="95">
        <v>274837.186</v>
      </c>
      <c r="K21" s="95">
        <v>300507.0315</v>
      </c>
      <c r="L21" s="95">
        <v>322965.045</v>
      </c>
      <c r="M21" s="95">
        <v>338821.21</v>
      </c>
      <c r="N21" s="95">
        <v>353554.136</v>
      </c>
      <c r="O21" s="95">
        <v>365817.2895</v>
      </c>
      <c r="P21" s="95">
        <v>375076.117</v>
      </c>
      <c r="Q21" s="95">
        <v>385140.158</v>
      </c>
      <c r="R21" s="95">
        <v>392224.6835</v>
      </c>
      <c r="S21" s="95">
        <v>402940.564</v>
      </c>
      <c r="T21" s="95">
        <v>410981.4215</v>
      </c>
      <c r="U21" s="95">
        <v>413951.915</v>
      </c>
      <c r="V21" s="95">
        <v>423898.67</v>
      </c>
    </row>
    <row r="22" spans="1:22" ht="12.75">
      <c r="A22" s="94">
        <v>19</v>
      </c>
      <c r="B22" s="77" t="s">
        <v>61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558.808</v>
      </c>
      <c r="K22" s="95">
        <v>3118.999</v>
      </c>
      <c r="L22" s="95">
        <v>8236.344</v>
      </c>
      <c r="M22" s="95">
        <v>13979.311</v>
      </c>
      <c r="N22" s="95">
        <v>21529.293</v>
      </c>
      <c r="O22" s="95">
        <v>31029.029</v>
      </c>
      <c r="P22" s="95">
        <v>40386.026</v>
      </c>
      <c r="Q22" s="95">
        <v>51789.961</v>
      </c>
      <c r="R22" s="95">
        <v>62963.084</v>
      </c>
      <c r="S22" s="95">
        <v>78102.529</v>
      </c>
      <c r="T22" s="95">
        <v>94058.927</v>
      </c>
      <c r="U22" s="95">
        <v>110519.467</v>
      </c>
      <c r="V22" s="95">
        <v>130627.444</v>
      </c>
    </row>
    <row r="23" spans="1:22" ht="12.75">
      <c r="A23" s="94">
        <v>20</v>
      </c>
      <c r="B23" s="77" t="s">
        <v>62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142.08</v>
      </c>
      <c r="K23" s="95">
        <v>1999.776</v>
      </c>
      <c r="L23" s="95">
        <v>4745.472</v>
      </c>
      <c r="M23" s="95">
        <v>8432.448</v>
      </c>
      <c r="N23" s="95">
        <v>13273.824</v>
      </c>
      <c r="O23" s="95">
        <v>19354.848</v>
      </c>
      <c r="P23" s="95">
        <v>25595.712</v>
      </c>
      <c r="Q23" s="95">
        <v>33793.728</v>
      </c>
      <c r="R23" s="95">
        <v>41757.312</v>
      </c>
      <c r="S23" s="95">
        <v>51930.24</v>
      </c>
      <c r="T23" s="95">
        <v>62433.504</v>
      </c>
      <c r="U23" s="95">
        <v>73547.712</v>
      </c>
      <c r="V23" s="95">
        <v>88082.496</v>
      </c>
    </row>
    <row r="24" spans="1:22" ht="12.75">
      <c r="A24" s="94">
        <v>21</v>
      </c>
      <c r="B24" s="77" t="s">
        <v>63</v>
      </c>
      <c r="C24" s="95">
        <v>8982.206</v>
      </c>
      <c r="D24" s="95">
        <v>8833.004</v>
      </c>
      <c r="E24" s="95">
        <v>8865.546</v>
      </c>
      <c r="F24" s="95">
        <v>8844.056</v>
      </c>
      <c r="G24" s="95">
        <v>8906.684</v>
      </c>
      <c r="H24" s="95">
        <v>8780.2</v>
      </c>
      <c r="I24" s="95">
        <v>8710.818</v>
      </c>
      <c r="J24" s="95">
        <v>8543.81</v>
      </c>
      <c r="K24" s="95">
        <v>8586.176</v>
      </c>
      <c r="L24" s="95">
        <v>8498.374</v>
      </c>
      <c r="M24" s="95">
        <v>8437.588</v>
      </c>
      <c r="N24" s="95">
        <v>8473.2</v>
      </c>
      <c r="O24" s="95">
        <v>8390.924</v>
      </c>
      <c r="P24" s="95">
        <v>8426.536</v>
      </c>
      <c r="Q24" s="95">
        <v>8275.492</v>
      </c>
      <c r="R24" s="95">
        <v>8147.78</v>
      </c>
      <c r="S24" s="95">
        <v>8206.11</v>
      </c>
      <c r="T24" s="95">
        <v>8071.644</v>
      </c>
      <c r="U24" s="95">
        <v>7792.274</v>
      </c>
      <c r="V24" s="95">
        <v>7934.108</v>
      </c>
    </row>
    <row r="25" spans="1:22" ht="25.5">
      <c r="A25" s="94">
        <v>22</v>
      </c>
      <c r="B25" s="77" t="s">
        <v>64</v>
      </c>
      <c r="C25" s="95">
        <v>23075.904</v>
      </c>
      <c r="D25" s="95">
        <v>22681.738</v>
      </c>
      <c r="E25" s="95">
        <v>22778.464</v>
      </c>
      <c r="F25" s="95">
        <v>22541.804</v>
      </c>
      <c r="G25" s="95">
        <v>22668.1795</v>
      </c>
      <c r="H25" s="95">
        <v>22636.685</v>
      </c>
      <c r="I25" s="95">
        <v>22362.243</v>
      </c>
      <c r="J25" s="95">
        <v>22292.486</v>
      </c>
      <c r="K25" s="95">
        <v>22097.8465</v>
      </c>
      <c r="L25" s="95">
        <v>21682.987</v>
      </c>
      <c r="M25" s="95">
        <v>21726.667</v>
      </c>
      <c r="N25" s="95">
        <v>21667.1715</v>
      </c>
      <c r="O25" s="95">
        <v>21578.3135</v>
      </c>
      <c r="P25" s="95">
        <v>21349.035</v>
      </c>
      <c r="Q25" s="95">
        <v>21136.4265</v>
      </c>
      <c r="R25" s="95">
        <v>21126.7225</v>
      </c>
      <c r="S25" s="95">
        <v>20834.563</v>
      </c>
      <c r="T25" s="95">
        <v>20696.9535</v>
      </c>
      <c r="U25" s="95">
        <v>19907.735</v>
      </c>
      <c r="V25" s="95">
        <v>19410.177</v>
      </c>
    </row>
    <row r="26" spans="1:22" ht="25.5">
      <c r="A26" s="94">
        <v>23</v>
      </c>
      <c r="B26" s="77" t="s">
        <v>65</v>
      </c>
      <c r="C26" s="95">
        <v>2448.534</v>
      </c>
      <c r="D26" s="95">
        <v>2435.9875</v>
      </c>
      <c r="E26" s="95">
        <v>2459.436</v>
      </c>
      <c r="F26" s="95">
        <v>2466.359</v>
      </c>
      <c r="G26" s="95">
        <v>2508.656</v>
      </c>
      <c r="H26" s="95">
        <v>2526.3775</v>
      </c>
      <c r="I26" s="95">
        <v>2553.5405</v>
      </c>
      <c r="J26" s="95">
        <v>2567.4555</v>
      </c>
      <c r="K26" s="95">
        <v>2636.4095</v>
      </c>
      <c r="L26" s="95">
        <v>2653.5905</v>
      </c>
      <c r="M26" s="95">
        <v>2670.461</v>
      </c>
      <c r="N26" s="95">
        <v>2722.924</v>
      </c>
      <c r="O26" s="95">
        <v>2775.6975</v>
      </c>
      <c r="P26" s="95">
        <v>2831.6565</v>
      </c>
      <c r="Q26" s="95">
        <v>2884.614</v>
      </c>
      <c r="R26" s="95">
        <v>2903.2095</v>
      </c>
      <c r="S26" s="95">
        <v>2918.3205</v>
      </c>
      <c r="T26" s="95">
        <v>2964.102</v>
      </c>
      <c r="U26" s="95">
        <v>2961.779</v>
      </c>
      <c r="V26" s="95">
        <v>3008.6645</v>
      </c>
    </row>
    <row r="27" spans="1:22" ht="25.5">
      <c r="A27" s="94">
        <v>24</v>
      </c>
      <c r="B27" s="77" t="s">
        <v>66</v>
      </c>
      <c r="C27" s="95">
        <v>2129.687</v>
      </c>
      <c r="D27" s="95">
        <v>2053.198</v>
      </c>
      <c r="E27" s="95">
        <v>2016.84</v>
      </c>
      <c r="F27" s="95">
        <v>2008.265</v>
      </c>
      <c r="G27" s="95">
        <v>1998.661</v>
      </c>
      <c r="H27" s="95">
        <v>1946.525</v>
      </c>
      <c r="I27" s="95">
        <v>1926.288</v>
      </c>
      <c r="J27" s="95">
        <v>1890.273</v>
      </c>
      <c r="K27" s="95">
        <v>1867.635</v>
      </c>
      <c r="L27" s="95">
        <v>1827.161</v>
      </c>
      <c r="M27" s="95">
        <v>1808.982</v>
      </c>
      <c r="N27" s="95">
        <v>1808.982</v>
      </c>
      <c r="O27" s="95">
        <v>1770.909</v>
      </c>
      <c r="P27" s="95">
        <v>1737.295</v>
      </c>
      <c r="Q27" s="95">
        <v>1677.613</v>
      </c>
      <c r="R27" s="95">
        <v>1630.279</v>
      </c>
      <c r="S27" s="95">
        <v>1594.264</v>
      </c>
      <c r="T27" s="95">
        <v>1542.471</v>
      </c>
      <c r="U27" s="95">
        <v>1459.122</v>
      </c>
      <c r="V27" s="95">
        <v>1402.87</v>
      </c>
    </row>
    <row r="28" spans="1:22" ht="25.5">
      <c r="A28" s="94">
        <v>25</v>
      </c>
      <c r="B28" s="77" t="s">
        <v>67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279.7005</v>
      </c>
      <c r="M28" s="95">
        <v>1689.6435</v>
      </c>
      <c r="N28" s="95">
        <v>4705.596</v>
      </c>
      <c r="O28" s="95">
        <v>8601.2835</v>
      </c>
      <c r="P28" s="95">
        <v>13457.973</v>
      </c>
      <c r="Q28" s="95">
        <v>18677.997</v>
      </c>
      <c r="R28" s="95">
        <v>23998.6185</v>
      </c>
      <c r="S28" s="95">
        <v>30602.5485</v>
      </c>
      <c r="T28" s="95">
        <v>37195.038</v>
      </c>
      <c r="U28" s="95">
        <v>43674.7005</v>
      </c>
      <c r="V28" s="95">
        <v>51303.5415</v>
      </c>
    </row>
    <row r="29" spans="1:22" ht="25.5">
      <c r="A29" s="94">
        <v>26</v>
      </c>
      <c r="B29" s="77" t="s">
        <v>68</v>
      </c>
      <c r="C29" s="95">
        <v>284447.638</v>
      </c>
      <c r="D29" s="95">
        <v>284784.844</v>
      </c>
      <c r="E29" s="95">
        <v>286146.738</v>
      </c>
      <c r="F29" s="95">
        <v>286180.72</v>
      </c>
      <c r="G29" s="95">
        <v>287200.8335</v>
      </c>
      <c r="H29" s="95">
        <v>287187.11</v>
      </c>
      <c r="I29" s="95">
        <v>286464.339</v>
      </c>
      <c r="J29" s="95">
        <v>286065.0505</v>
      </c>
      <c r="K29" s="95">
        <v>287694.8795</v>
      </c>
      <c r="L29" s="95">
        <v>284799.221</v>
      </c>
      <c r="M29" s="95">
        <v>280987.3555</v>
      </c>
      <c r="N29" s="95">
        <v>277435.3335</v>
      </c>
      <c r="O29" s="95">
        <v>270350.0175</v>
      </c>
      <c r="P29" s="95">
        <v>261009.309</v>
      </c>
      <c r="Q29" s="95">
        <v>251383.516</v>
      </c>
      <c r="R29" s="95">
        <v>240618.36</v>
      </c>
      <c r="S29" s="95">
        <v>229311.579</v>
      </c>
      <c r="T29" s="95">
        <v>216073.8805</v>
      </c>
      <c r="U29" s="95">
        <v>201682.9605</v>
      </c>
      <c r="V29" s="95">
        <v>190207.367</v>
      </c>
    </row>
    <row r="30" spans="1:22" ht="25.5">
      <c r="A30" s="94">
        <v>27</v>
      </c>
      <c r="B30" s="77" t="s">
        <v>69</v>
      </c>
      <c r="C30" s="95">
        <v>168747.7095</v>
      </c>
      <c r="D30" s="95">
        <v>167137.325</v>
      </c>
      <c r="E30" s="95">
        <v>166567.2275</v>
      </c>
      <c r="F30" s="95">
        <v>165426.8125</v>
      </c>
      <c r="G30" s="95">
        <v>164937.6495</v>
      </c>
      <c r="H30" s="95">
        <v>164367.4575</v>
      </c>
      <c r="I30" s="95">
        <v>164731.835</v>
      </c>
      <c r="J30" s="95">
        <v>165086.057</v>
      </c>
      <c r="K30" s="95">
        <v>166143.2565</v>
      </c>
      <c r="L30" s="95">
        <v>164542.8535</v>
      </c>
      <c r="M30" s="95">
        <v>163187.9905</v>
      </c>
      <c r="N30" s="95">
        <v>162613.103</v>
      </c>
      <c r="O30" s="95">
        <v>161466.3555</v>
      </c>
      <c r="P30" s="95">
        <v>159499.7575</v>
      </c>
      <c r="Q30" s="95">
        <v>158081.839</v>
      </c>
      <c r="R30" s="95">
        <v>155664.8955</v>
      </c>
      <c r="S30" s="95">
        <v>154193.4895</v>
      </c>
      <c r="T30" s="95">
        <v>151633.8285</v>
      </c>
      <c r="U30" s="95">
        <v>147619.6285</v>
      </c>
      <c r="V30" s="95">
        <v>145446.6145</v>
      </c>
    </row>
    <row r="31" spans="1:22" ht="25.5">
      <c r="A31" s="94">
        <v>28</v>
      </c>
      <c r="B31" s="77" t="s">
        <v>70</v>
      </c>
      <c r="C31" s="95">
        <v>23812.393</v>
      </c>
      <c r="D31" s="95">
        <v>23560.2235</v>
      </c>
      <c r="E31" s="95">
        <v>23425.1415</v>
      </c>
      <c r="F31" s="95">
        <v>23267.8745</v>
      </c>
      <c r="G31" s="95">
        <v>23213.6445</v>
      </c>
      <c r="H31" s="95">
        <v>22927.7045</v>
      </c>
      <c r="I31" s="95">
        <v>22838.4715</v>
      </c>
      <c r="J31" s="95">
        <v>22763.289</v>
      </c>
      <c r="K31" s="95">
        <v>22827.379</v>
      </c>
      <c r="L31" s="95">
        <v>22561.159</v>
      </c>
      <c r="M31" s="95">
        <v>22201.5155</v>
      </c>
      <c r="N31" s="95">
        <v>22065.694</v>
      </c>
      <c r="O31" s="95">
        <v>21861.3455</v>
      </c>
      <c r="P31" s="95">
        <v>21773.345</v>
      </c>
      <c r="Q31" s="95">
        <v>21667.843</v>
      </c>
      <c r="R31" s="95">
        <v>21392.0095</v>
      </c>
      <c r="S31" s="95">
        <v>21164.7365</v>
      </c>
      <c r="T31" s="95">
        <v>21044.691</v>
      </c>
      <c r="U31" s="95">
        <v>20520.8785</v>
      </c>
      <c r="V31" s="95">
        <v>20469.36</v>
      </c>
    </row>
    <row r="32" spans="1:22" ht="12.75">
      <c r="A32" s="94">
        <v>29</v>
      </c>
      <c r="B32" s="77" t="s">
        <v>71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407.236</v>
      </c>
    </row>
    <row r="34" spans="1:22" s="70" customFormat="1" ht="13.5" thickBot="1">
      <c r="A34" s="93" t="s">
        <v>75</v>
      </c>
      <c r="B34" s="93" t="s">
        <v>74</v>
      </c>
      <c r="C34" s="103">
        <v>38504</v>
      </c>
      <c r="D34" s="103">
        <v>38534</v>
      </c>
      <c r="E34" s="103">
        <v>38565</v>
      </c>
      <c r="F34" s="103">
        <v>38596</v>
      </c>
      <c r="G34" s="103">
        <v>38626</v>
      </c>
      <c r="H34" s="103">
        <v>38657</v>
      </c>
      <c r="I34" s="103">
        <v>38687</v>
      </c>
      <c r="J34" s="103">
        <v>38718</v>
      </c>
      <c r="K34" s="103">
        <v>38749</v>
      </c>
      <c r="L34" s="103">
        <v>38777</v>
      </c>
      <c r="M34" s="103">
        <v>38808</v>
      </c>
      <c r="N34" s="103">
        <v>38838</v>
      </c>
      <c r="O34" s="103">
        <v>38869</v>
      </c>
      <c r="P34" s="103">
        <v>38899</v>
      </c>
      <c r="Q34" s="103">
        <v>38930</v>
      </c>
      <c r="R34" s="103">
        <v>38961</v>
      </c>
      <c r="S34" s="103">
        <v>38991</v>
      </c>
      <c r="T34" s="103">
        <v>39022</v>
      </c>
      <c r="U34" s="103">
        <v>39052</v>
      </c>
      <c r="V34" s="103">
        <v>39083</v>
      </c>
    </row>
    <row r="35" spans="1:22" ht="26.25" thickTop="1">
      <c r="A35">
        <v>1</v>
      </c>
      <c r="B35" s="91" t="s">
        <v>43</v>
      </c>
      <c r="C35" s="92">
        <f>VLOOKUP(1,$A$4:$AX$32,3,FALSE)</f>
        <v>0</v>
      </c>
      <c r="D35" s="92">
        <f>VLOOKUP(1,$A$4:$AX$32,4,FALSE)</f>
        <v>0</v>
      </c>
      <c r="E35" s="92">
        <f>VLOOKUP(1,$A$4:$AX$32,5,FALSE)</f>
        <v>0</v>
      </c>
      <c r="F35" s="92">
        <f>VLOOKUP(1,$A$4:$AX$32,6,FALSE)</f>
        <v>0</v>
      </c>
      <c r="G35" s="92">
        <f>VLOOKUP(1,$A$4:$AX$32,7,FALSE)</f>
        <v>0</v>
      </c>
      <c r="H35" s="92">
        <f>VLOOKUP(1,$A$4:$AX$32,8,FALSE)</f>
        <v>0</v>
      </c>
      <c r="I35" s="92">
        <f>VLOOKUP(1,$A$4:$AX$32,9,FALSE)</f>
        <v>10.764</v>
      </c>
      <c r="J35" s="92">
        <f>VLOOKUP(1,$A$4:$AX$32,10,FALSE)</f>
        <v>89.424</v>
      </c>
      <c r="K35" s="92">
        <f>VLOOKUP(1,$A$4:$AX$32,11,FALSE)</f>
        <v>187.128</v>
      </c>
      <c r="L35" s="92">
        <f>VLOOKUP(1,$A$4:$AX$32,12,FALSE)</f>
        <v>298.08</v>
      </c>
      <c r="M35" s="92">
        <f>VLOOKUP(1,$A$4:$AX$32,13,FALSE)</f>
        <v>517.5</v>
      </c>
      <c r="N35" s="92">
        <f>VLOOKUP(1,$A$4:$AX$32,14,FALSE)</f>
        <v>767.142</v>
      </c>
      <c r="O35" s="92">
        <f>VLOOKUP(1,$A$4:$AX$32,15,FALSE)</f>
        <v>1048.662</v>
      </c>
      <c r="P35" s="92">
        <f>VLOOKUP(1,$A$4:$AX$32,16,FALSE)</f>
        <v>1309.068</v>
      </c>
      <c r="Q35" s="92">
        <f>VLOOKUP(1,$A$4:$AX$32,17,FALSE)</f>
        <v>1646.064</v>
      </c>
      <c r="R35" s="92">
        <f>VLOOKUP(1,$A$4:$AX$32,18,FALSE)</f>
        <v>1957.806</v>
      </c>
      <c r="S35" s="92">
        <f>VLOOKUP(1,$A$4:$AX$32,19,FALSE)</f>
        <v>2373.462</v>
      </c>
      <c r="T35" s="92">
        <f>VLOOKUP(1,$A$4:$AX$32,20,FALSE)</f>
        <v>2799.468</v>
      </c>
      <c r="U35" s="92">
        <f>VLOOKUP(1,$A$4:$AX$32,21,FALSE)</f>
        <v>3125.286</v>
      </c>
      <c r="V35" s="92">
        <f>VLOOKUP(1,$A$4:$AX$32,22,FALSE)</f>
        <v>3413.43</v>
      </c>
    </row>
    <row r="36" spans="1:22" ht="25.5">
      <c r="A36">
        <v>2</v>
      </c>
      <c r="B36" s="77" t="s">
        <v>44</v>
      </c>
      <c r="C36" s="92">
        <f>VLOOKUP(2,$A$4:$AX$32,3,FALSE)</f>
        <v>900517.311</v>
      </c>
      <c r="D36" s="92">
        <f>VLOOKUP(2,$A$4:$AX$32,4,FALSE)</f>
        <v>885364.785</v>
      </c>
      <c r="E36" s="92">
        <f>VLOOKUP(2,$A$4:$AX$32,5,FALSE)</f>
        <v>875124.1235</v>
      </c>
      <c r="F36" s="92">
        <f>VLOOKUP(2,$A$4:$AX$32,6,FALSE)</f>
        <v>859298.6925</v>
      </c>
      <c r="G36" s="92">
        <f>VLOOKUP(2,$A$4:$AX$32,7,FALSE)</f>
        <v>845036.943</v>
      </c>
      <c r="H36" s="92">
        <f>VLOOKUP(2,$A$4:$AX$32,8,FALSE)</f>
        <v>828874.841</v>
      </c>
      <c r="I36" s="92">
        <f>VLOOKUP(2,$A$4:$AX$32,9,FALSE)</f>
        <v>813219.195</v>
      </c>
      <c r="J36" s="92">
        <f>VLOOKUP(2,$A$4:$AX$32,10,FALSE)</f>
        <v>799161.4005</v>
      </c>
      <c r="K36" s="92">
        <f>VLOOKUP(2,$A$4:$AX$32,11,FALSE)</f>
        <v>791449.6835</v>
      </c>
      <c r="L36" s="92">
        <f>VLOOKUP(2,$A$4:$AX$32,12,FALSE)</f>
        <v>767444.3815</v>
      </c>
      <c r="M36" s="92">
        <f>VLOOKUP(2,$A$4:$AX$32,13,FALSE)</f>
        <v>746860.177</v>
      </c>
      <c r="N36" s="92">
        <f>VLOOKUP(2,$A$4:$AX$32,14,FALSE)</f>
        <v>733009.817</v>
      </c>
      <c r="O36" s="92">
        <f>VLOOKUP(2,$A$4:$AX$32,15,FALSE)</f>
        <v>723745.3315</v>
      </c>
      <c r="P36" s="92">
        <f>VLOOKUP(2,$A$4:$AX$32,16,FALSE)</f>
        <v>713544.0785</v>
      </c>
      <c r="Q36" s="92">
        <f>VLOOKUP(2,$A$4:$AX$32,17,FALSE)</f>
        <v>705683.631</v>
      </c>
      <c r="R36" s="92">
        <f>VLOOKUP(2,$A$4:$AX$32,18,FALSE)</f>
        <v>696465.393</v>
      </c>
      <c r="S36" s="92">
        <f>VLOOKUP(2,$A$4:$AX$32,19,FALSE)</f>
        <v>693889.484</v>
      </c>
      <c r="T36" s="92">
        <f>VLOOKUP(2,$A$4:$AX$32,20,FALSE)</f>
        <v>685031.665</v>
      </c>
      <c r="U36" s="92">
        <f>VLOOKUP(2,$A$4:$AX$32,21,FALSE)</f>
        <v>674435.156</v>
      </c>
      <c r="V36" s="92">
        <f>VLOOKUP(2,$A$4:$AX$32,22,FALSE)</f>
        <v>671244.7055</v>
      </c>
    </row>
    <row r="37" spans="1:22" ht="25.5">
      <c r="A37">
        <v>3</v>
      </c>
      <c r="B37" s="77" t="s">
        <v>45</v>
      </c>
      <c r="C37" s="92">
        <f>VLOOKUP(3,$A$4:$AX$32,3,FALSE)</f>
        <v>292689.9765</v>
      </c>
      <c r="D37" s="92">
        <f>VLOOKUP(3,$A$4:$AX$32,4,FALSE)</f>
        <v>292685.283</v>
      </c>
      <c r="E37" s="92">
        <f>VLOOKUP(3,$A$4:$AX$32,5,FALSE)</f>
        <v>294619.5945</v>
      </c>
      <c r="F37" s="92">
        <f>VLOOKUP(3,$A$4:$AX$32,6,FALSE)</f>
        <v>294409.2195</v>
      </c>
      <c r="G37" s="92">
        <f>VLOOKUP(3,$A$4:$AX$32,7,FALSE)</f>
        <v>294038.9</v>
      </c>
      <c r="H37" s="92">
        <f>VLOOKUP(3,$A$4:$AX$32,8,FALSE)</f>
        <v>293740.375</v>
      </c>
      <c r="I37" s="92">
        <f>VLOOKUP(3,$A$4:$AX$32,9,FALSE)</f>
        <v>291398.7375</v>
      </c>
      <c r="J37" s="92">
        <f>VLOOKUP(3,$A$4:$AX$32,10,FALSE)</f>
        <v>288835</v>
      </c>
      <c r="K37" s="92">
        <f>VLOOKUP(3,$A$4:$AX$32,11,FALSE)</f>
        <v>287874.0875</v>
      </c>
      <c r="L37" s="92">
        <f>VLOOKUP(3,$A$4:$AX$32,12,FALSE)</f>
        <v>282382.4625</v>
      </c>
      <c r="M37" s="92">
        <f>VLOOKUP(3,$A$4:$AX$32,13,FALSE)</f>
        <v>276445.4125</v>
      </c>
      <c r="N37" s="92">
        <f>VLOOKUP(3,$A$4:$AX$32,14,FALSE)</f>
        <v>270632</v>
      </c>
      <c r="O37" s="92">
        <f>VLOOKUP(3,$A$4:$AX$32,15,FALSE)</f>
        <v>267137.2625</v>
      </c>
      <c r="P37" s="92">
        <f>VLOOKUP(3,$A$4:$AX$32,16,FALSE)</f>
        <v>262891.3</v>
      </c>
      <c r="Q37" s="92">
        <f>VLOOKUP(3,$A$4:$AX$32,17,FALSE)</f>
        <v>258867.2875</v>
      </c>
      <c r="R37" s="92">
        <f>VLOOKUP(3,$A$4:$AX$32,18,FALSE)</f>
        <v>254225.6875</v>
      </c>
      <c r="S37" s="92">
        <f>VLOOKUP(3,$A$4:$AX$32,19,FALSE)</f>
        <v>252413.5875</v>
      </c>
      <c r="T37" s="92">
        <f>VLOOKUP(3,$A$4:$AX$32,20,FALSE)</f>
        <v>248186.0625</v>
      </c>
      <c r="U37" s="92">
        <f>VLOOKUP(3,$A$4:$AX$32,21,FALSE)</f>
        <v>242474.5947</v>
      </c>
      <c r="V37" s="92">
        <f>VLOOKUP(3,$A$4:$AX$32,22,FALSE)</f>
        <v>241492.8769</v>
      </c>
    </row>
    <row r="38" spans="1:22" ht="25.5">
      <c r="A38">
        <v>4</v>
      </c>
      <c r="B38" s="77" t="s">
        <v>46</v>
      </c>
      <c r="C38" s="92">
        <f>VLOOKUP(4,$A$4:$AX$32,3,FALSE)</f>
        <v>0</v>
      </c>
      <c r="D38" s="92">
        <f>VLOOKUP(4,$A$4:$AX$32,4,FALSE)</f>
        <v>0</v>
      </c>
      <c r="E38" s="92">
        <f>VLOOKUP(4,$A$4:$AX$32,5,FALSE)</f>
        <v>0</v>
      </c>
      <c r="F38" s="92">
        <f>VLOOKUP(4,$A$4:$AX$32,6,FALSE)</f>
        <v>0</v>
      </c>
      <c r="G38" s="92">
        <f>VLOOKUP(4,$A$4:$AX$32,7,FALSE)</f>
        <v>0</v>
      </c>
      <c r="H38" s="92">
        <f>VLOOKUP(4,$A$4:$AX$32,8,FALSE)</f>
        <v>0</v>
      </c>
      <c r="I38" s="92">
        <f>VLOOKUP(4,$A$4:$AX$32,9,FALSE)</f>
        <v>0</v>
      </c>
      <c r="J38" s="92">
        <f>VLOOKUP(4,$A$4:$AX$32,10,FALSE)</f>
        <v>0</v>
      </c>
      <c r="K38" s="92">
        <f>VLOOKUP(4,$A$4:$AX$32,11,FALSE)</f>
        <v>0</v>
      </c>
      <c r="L38" s="92">
        <f>VLOOKUP(4,$A$4:$AX$32,12,FALSE)</f>
        <v>0</v>
      </c>
      <c r="M38" s="92">
        <f>VLOOKUP(4,$A$4:$AX$32,13,FALSE)</f>
        <v>0</v>
      </c>
      <c r="N38" s="92">
        <f>VLOOKUP(4,$A$4:$AX$32,14,FALSE)</f>
        <v>0</v>
      </c>
      <c r="O38" s="92">
        <f>VLOOKUP(4,$A$4:$AX$32,15,FALSE)</f>
        <v>0</v>
      </c>
      <c r="P38" s="92">
        <f>VLOOKUP(4,$A$4:$AX$32,16,FALSE)</f>
        <v>0</v>
      </c>
      <c r="Q38" s="92">
        <f>VLOOKUP(4,$A$4:$AX$32,17,FALSE)</f>
        <v>0</v>
      </c>
      <c r="R38" s="92">
        <f>VLOOKUP(4,$A$4:$AX$32,18,FALSE)</f>
        <v>0</v>
      </c>
      <c r="S38" s="92">
        <f>VLOOKUP(4,$A$4:$AX$32,19,FALSE)</f>
        <v>35.614</v>
      </c>
      <c r="T38" s="92">
        <f>VLOOKUP(4,$A$4:$AX$32,20,FALSE)</f>
        <v>92.103</v>
      </c>
      <c r="U38" s="92">
        <f>VLOOKUP(4,$A$4:$AX$32,21,FALSE)</f>
        <v>180.3185</v>
      </c>
      <c r="V38" s="92">
        <f>VLOOKUP(4,$A$4:$AX$32,22,FALSE)</f>
        <v>350.332</v>
      </c>
    </row>
    <row r="39" spans="1:22" ht="25.5">
      <c r="A39">
        <v>5</v>
      </c>
      <c r="B39" s="77" t="s">
        <v>47</v>
      </c>
      <c r="C39" s="92">
        <f>VLOOKUP(5,$A$4:$AX$32,3,FALSE)</f>
        <v>956682.3465</v>
      </c>
      <c r="D39" s="92">
        <f>VLOOKUP(5,$A$4:$AX$32,4,FALSE)</f>
        <v>952292.8515</v>
      </c>
      <c r="E39" s="92">
        <f>VLOOKUP(5,$A$4:$AX$32,5,FALSE)</f>
        <v>953046.723</v>
      </c>
      <c r="F39" s="92">
        <f>VLOOKUP(5,$A$4:$AX$32,6,FALSE)</f>
        <v>947696.2845</v>
      </c>
      <c r="G39" s="92">
        <f>VLOOKUP(5,$A$4:$AX$32,7,FALSE)</f>
        <v>943960.3605</v>
      </c>
      <c r="H39" s="92">
        <f>VLOOKUP(5,$A$4:$AX$32,8,FALSE)</f>
        <v>937419.258</v>
      </c>
      <c r="I39" s="92">
        <f>VLOOKUP(5,$A$4:$AX$32,9,FALSE)</f>
        <v>931858.512</v>
      </c>
      <c r="J39" s="92">
        <f>VLOOKUP(5,$A$4:$AX$32,10,FALSE)</f>
        <v>927861.591</v>
      </c>
      <c r="K39" s="92">
        <f>VLOOKUP(5,$A$4:$AX$32,11,FALSE)</f>
        <v>928301.619</v>
      </c>
      <c r="L39" s="92">
        <f>VLOOKUP(5,$A$4:$AX$32,12,FALSE)</f>
        <v>913966.197</v>
      </c>
      <c r="M39" s="92">
        <f>VLOOKUP(5,$A$4:$AX$32,13,FALSE)</f>
        <v>903382.8765</v>
      </c>
      <c r="N39" s="92">
        <f>VLOOKUP(5,$A$4:$AX$32,14,FALSE)</f>
        <v>895798.8645</v>
      </c>
      <c r="O39" s="92">
        <f>VLOOKUP(5,$A$4:$AX$32,15,FALSE)</f>
        <v>888961.1745</v>
      </c>
      <c r="P39" s="92">
        <f>VLOOKUP(5,$A$4:$AX$32,16,FALSE)</f>
        <v>877465.664</v>
      </c>
      <c r="Q39" s="92">
        <f>VLOOKUP(5,$A$4:$AX$32,17,FALSE)</f>
        <v>862438.814</v>
      </c>
      <c r="R39" s="92">
        <f>VLOOKUP(5,$A$4:$AX$32,18,FALSE)</f>
        <v>842058.9717</v>
      </c>
      <c r="S39" s="92">
        <f>VLOOKUP(5,$A$4:$AX$32,19,FALSE)</f>
        <v>826284.7181</v>
      </c>
      <c r="T39" s="92">
        <f>VLOOKUP(5,$A$4:$AX$32,20,FALSE)</f>
        <v>804073.5684</v>
      </c>
      <c r="U39" s="92">
        <f>VLOOKUP(5,$A$4:$AX$32,21,FALSE)</f>
        <v>777736.6616</v>
      </c>
      <c r="V39" s="92">
        <f>VLOOKUP(5,$A$4:$AX$32,22,FALSE)</f>
        <v>761469.8579</v>
      </c>
    </row>
    <row r="40" spans="1:22" ht="25.5">
      <c r="A40">
        <v>6</v>
      </c>
      <c r="B40" s="77" t="s">
        <v>48</v>
      </c>
      <c r="C40" s="92">
        <f>VLOOKUP(6,$A$4:$AX$32,3,FALSE)</f>
        <v>705310.3255</v>
      </c>
      <c r="D40" s="92">
        <f>VLOOKUP(6,$A$4:$AX$32,4,FALSE)</f>
        <v>706801.997</v>
      </c>
      <c r="E40" s="92">
        <f>VLOOKUP(6,$A$4:$AX$32,5,FALSE)</f>
        <v>709587.527</v>
      </c>
      <c r="F40" s="92">
        <f>VLOOKUP(6,$A$4:$AX$32,6,FALSE)</f>
        <v>708570.203</v>
      </c>
      <c r="G40" s="92">
        <f>VLOOKUP(6,$A$4:$AX$32,7,FALSE)</f>
        <v>709611.749</v>
      </c>
      <c r="H40" s="92">
        <f>VLOOKUP(6,$A$4:$AX$32,8,FALSE)</f>
        <v>708461.204</v>
      </c>
      <c r="I40" s="92">
        <f>VLOOKUP(6,$A$4:$AX$32,9,FALSE)</f>
        <v>707044.217</v>
      </c>
      <c r="J40" s="92">
        <f>VLOOKUP(6,$A$4:$AX$32,10,FALSE)</f>
        <v>703982.1525</v>
      </c>
      <c r="K40" s="92">
        <f>VLOOKUP(6,$A$4:$AX$32,11,FALSE)</f>
        <v>706458.852</v>
      </c>
      <c r="L40" s="92">
        <f>VLOOKUP(6,$A$4:$AX$32,12,FALSE)</f>
        <v>697587.5445</v>
      </c>
      <c r="M40" s="92">
        <f>VLOOKUP(6,$A$4:$AX$32,13,FALSE)</f>
        <v>691392.768</v>
      </c>
      <c r="N40" s="92">
        <f>VLOOKUP(6,$A$4:$AX$32,14,FALSE)</f>
        <v>690298.741</v>
      </c>
      <c r="O40" s="92">
        <f>VLOOKUP(6,$A$4:$AX$32,15,FALSE)</f>
        <v>689632.636</v>
      </c>
      <c r="P40" s="92">
        <f>VLOOKUP(6,$A$4:$AX$32,16,FALSE)</f>
        <v>679724.2135</v>
      </c>
      <c r="Q40" s="92">
        <f>VLOOKUP(6,$A$4:$AX$32,17,FALSE)</f>
        <v>671023.6475</v>
      </c>
      <c r="R40" s="92">
        <f>VLOOKUP(6,$A$4:$AX$32,18,FALSE)</f>
        <v>655202.6615</v>
      </c>
      <c r="S40" s="92">
        <f>VLOOKUP(6,$A$4:$AX$32,19,FALSE)</f>
        <v>642496.0813</v>
      </c>
      <c r="T40" s="92">
        <f>VLOOKUP(6,$A$4:$AX$32,20,FALSE)</f>
        <v>626770.3854</v>
      </c>
      <c r="U40" s="92">
        <f>VLOOKUP(6,$A$4:$AX$32,21,FALSE)</f>
        <v>606920.0482</v>
      </c>
      <c r="V40" s="92">
        <f>VLOOKUP(6,$A$4:$AX$32,22,FALSE)</f>
        <v>593092.9993</v>
      </c>
    </row>
    <row r="41" spans="1:22" ht="12.75">
      <c r="A41">
        <v>7</v>
      </c>
      <c r="B41" s="77" t="s">
        <v>49</v>
      </c>
      <c r="C41" s="92">
        <f>VLOOKUP(7,$A$4:$AX$32,3,FALSE)</f>
        <v>0</v>
      </c>
      <c r="D41" s="92">
        <f>VLOOKUP(7,$A$4:$AX$32,4,FALSE)</f>
        <v>0</v>
      </c>
      <c r="E41" s="92">
        <f>VLOOKUP(7,$A$4:$AX$32,5,FALSE)</f>
        <v>0</v>
      </c>
      <c r="F41" s="92">
        <f>VLOOKUP(7,$A$4:$AX$32,6,FALSE)</f>
        <v>0</v>
      </c>
      <c r="G41" s="92">
        <f>VLOOKUP(7,$A$4:$AX$32,7,FALSE)</f>
        <v>0</v>
      </c>
      <c r="H41" s="92">
        <f>VLOOKUP(7,$A$4:$AX$32,8,FALSE)</f>
        <v>0</v>
      </c>
      <c r="I41" s="92">
        <f>VLOOKUP(7,$A$4:$AX$32,9,FALSE)</f>
        <v>0</v>
      </c>
      <c r="J41" s="92">
        <f>VLOOKUP(7,$A$4:$AX$32,10,FALSE)</f>
        <v>0</v>
      </c>
      <c r="K41" s="92">
        <f>VLOOKUP(7,$A$4:$AX$32,11,FALSE)</f>
        <v>0</v>
      </c>
      <c r="L41" s="92">
        <f>VLOOKUP(7,$A$4:$AX$32,12,FALSE)</f>
        <v>0</v>
      </c>
      <c r="M41" s="92">
        <f>VLOOKUP(7,$A$4:$AX$32,13,FALSE)</f>
        <v>0</v>
      </c>
      <c r="N41" s="92">
        <f>VLOOKUP(7,$A$4:$AX$32,14,FALSE)</f>
        <v>0</v>
      </c>
      <c r="O41" s="92">
        <f>VLOOKUP(7,$A$4:$AX$32,15,FALSE)</f>
        <v>1114.568</v>
      </c>
      <c r="P41" s="92">
        <f>VLOOKUP(7,$A$4:$AX$32,16,FALSE)</f>
        <v>3628.47</v>
      </c>
      <c r="Q41" s="92">
        <f>VLOOKUP(7,$A$4:$AX$32,17,FALSE)</f>
        <v>6742.524</v>
      </c>
      <c r="R41" s="92">
        <f>VLOOKUP(7,$A$4:$AX$32,18,FALSE)</f>
        <v>10579.21</v>
      </c>
      <c r="S41" s="92">
        <f>VLOOKUP(7,$A$4:$AX$32,19,FALSE)</f>
        <v>16790.2723</v>
      </c>
      <c r="T41" s="92">
        <f>VLOOKUP(7,$A$4:$AX$32,20,FALSE)</f>
        <v>23542.8579</v>
      </c>
      <c r="U41" s="92">
        <f>VLOOKUP(7,$A$4:$AX$32,21,FALSE)</f>
        <v>31287.2856</v>
      </c>
      <c r="V41" s="92">
        <f>VLOOKUP(7,$A$4:$AX$32,22,FALSE)</f>
        <v>39636.2536</v>
      </c>
    </row>
    <row r="42" spans="1:22" ht="25.5">
      <c r="A42">
        <v>8</v>
      </c>
      <c r="B42" s="77" t="s">
        <v>50</v>
      </c>
      <c r="C42" s="92">
        <f>VLOOKUP(8,$A$4:$AX$32,3,FALSE)</f>
        <v>48614.61</v>
      </c>
      <c r="D42" s="92">
        <f>VLOOKUP(8,$A$4:$AX$32,4,FALSE)</f>
        <v>48392.4</v>
      </c>
      <c r="E42" s="92">
        <f>VLOOKUP(8,$A$4:$AX$32,5,FALSE)</f>
        <v>48357.011</v>
      </c>
      <c r="F42" s="92">
        <f>VLOOKUP(8,$A$4:$AX$32,6,FALSE)</f>
        <v>48306.808</v>
      </c>
      <c r="G42" s="92">
        <f>VLOOKUP(8,$A$4:$AX$32,7,FALSE)</f>
        <v>48315.861</v>
      </c>
      <c r="H42" s="92">
        <f>VLOOKUP(8,$A$4:$AX$32,8,FALSE)</f>
        <v>48557.823</v>
      </c>
      <c r="I42" s="92">
        <f>VLOOKUP(8,$A$4:$AX$32,9,FALSE)</f>
        <v>48803.077</v>
      </c>
      <c r="J42" s="92">
        <f>VLOOKUP(8,$A$4:$AX$32,10,FALSE)</f>
        <v>49067.26</v>
      </c>
      <c r="K42" s="92">
        <f>VLOOKUP(8,$A$4:$AX$32,11,FALSE)</f>
        <v>49959.392</v>
      </c>
      <c r="L42" s="92">
        <f>VLOOKUP(8,$A$4:$AX$32,12,FALSE)</f>
        <v>50103.417</v>
      </c>
      <c r="M42" s="92">
        <f>VLOOKUP(8,$A$4:$AX$32,13,FALSE)</f>
        <v>50269.663</v>
      </c>
      <c r="N42" s="92">
        <f>VLOOKUP(8,$A$4:$AX$32,14,FALSE)</f>
        <v>50567.589</v>
      </c>
      <c r="O42" s="92">
        <f>VLOOKUP(8,$A$4:$AX$32,15,FALSE)</f>
        <v>50801.321</v>
      </c>
      <c r="P42" s="92">
        <f>VLOOKUP(8,$A$4:$AX$32,16,FALSE)</f>
        <v>50728.897</v>
      </c>
      <c r="Q42" s="92">
        <f>VLOOKUP(8,$A$4:$AX$32,17,FALSE)</f>
        <v>51038.9813</v>
      </c>
      <c r="R42" s="92">
        <f>VLOOKUP(8,$A$4:$AX$32,18,FALSE)</f>
        <v>50602.7063</v>
      </c>
      <c r="S42" s="92">
        <f>VLOOKUP(8,$A$4:$AX$32,19,FALSE)</f>
        <v>50942.6564</v>
      </c>
      <c r="T42" s="92">
        <f>VLOOKUP(8,$A$4:$AX$32,20,FALSE)</f>
        <v>50810.0667</v>
      </c>
      <c r="U42" s="92">
        <f>VLOOKUP(8,$A$4:$AX$32,21,FALSE)</f>
        <v>50523.2235</v>
      </c>
      <c r="V42" s="92">
        <f>VLOOKUP(8,$A$4:$AX$32,22,FALSE)</f>
        <v>50800.9284</v>
      </c>
    </row>
    <row r="43" spans="1:22" ht="25.5">
      <c r="A43">
        <v>9</v>
      </c>
      <c r="B43" s="77" t="s">
        <v>51</v>
      </c>
      <c r="C43" s="92">
        <f>VLOOKUP(9,$A$4:$AX$32,3,FALSE)</f>
        <v>124063.191</v>
      </c>
      <c r="D43" s="92">
        <f>VLOOKUP(9,$A$4:$AX$32,4,FALSE)</f>
        <v>124208.112</v>
      </c>
      <c r="E43" s="92">
        <f>VLOOKUP(9,$A$4:$AX$32,5,FALSE)</f>
        <v>125041.9485</v>
      </c>
      <c r="F43" s="92">
        <f>VLOOKUP(9,$A$4:$AX$32,6,FALSE)</f>
        <v>124626.6525</v>
      </c>
      <c r="G43" s="92">
        <f>VLOOKUP(9,$A$4:$AX$32,7,FALSE)</f>
        <v>124357.359</v>
      </c>
      <c r="H43" s="92">
        <f>VLOOKUP(9,$A$4:$AX$32,8,FALSE)</f>
        <v>123478.0995</v>
      </c>
      <c r="I43" s="92">
        <f>VLOOKUP(9,$A$4:$AX$32,9,FALSE)</f>
        <v>122883.2745</v>
      </c>
      <c r="J43" s="92">
        <f>VLOOKUP(9,$A$4:$AX$32,10,FALSE)</f>
        <v>122245.1895</v>
      </c>
      <c r="K43" s="92">
        <f>VLOOKUP(9,$A$4:$AX$32,11,FALSE)</f>
        <v>122602.0845</v>
      </c>
      <c r="L43" s="92">
        <f>VLOOKUP(9,$A$4:$AX$32,12,FALSE)</f>
        <v>120924.678</v>
      </c>
      <c r="M43" s="92">
        <f>VLOOKUP(9,$A$4:$AX$32,13,FALSE)</f>
        <v>119831.2815</v>
      </c>
      <c r="N43" s="92">
        <f>VLOOKUP(9,$A$4:$AX$32,14,FALSE)</f>
        <v>119052.6015</v>
      </c>
      <c r="O43" s="92">
        <f>VLOOKUP(9,$A$4:$AX$32,15,FALSE)</f>
        <v>118278.2475</v>
      </c>
      <c r="P43" s="92">
        <f>VLOOKUP(9,$A$4:$AX$32,16,FALSE)</f>
        <v>117434.6775</v>
      </c>
      <c r="Q43" s="92">
        <f>VLOOKUP(9,$A$4:$AX$32,17,FALSE)</f>
        <v>116468.235</v>
      </c>
      <c r="R43" s="92">
        <f>VLOOKUP(9,$A$4:$AX$32,18,FALSE)</f>
        <v>115127.7915</v>
      </c>
      <c r="S43" s="92">
        <f>VLOOKUP(9,$A$4:$AX$32,19,FALSE)</f>
        <v>114775.974</v>
      </c>
      <c r="T43" s="92">
        <f>VLOOKUP(9,$A$4:$AX$32,20,FALSE)</f>
        <v>114326.1165</v>
      </c>
      <c r="U43" s="92">
        <f>VLOOKUP(9,$A$4:$AX$32,21,FALSE)</f>
        <v>113107.583</v>
      </c>
      <c r="V43" s="92">
        <f>VLOOKUP(9,$A$4:$AX$32,22,FALSE)</f>
        <v>113587.1195</v>
      </c>
    </row>
    <row r="44" spans="1:22" ht="25.5">
      <c r="A44">
        <v>10</v>
      </c>
      <c r="B44" s="77" t="s">
        <v>52</v>
      </c>
      <c r="C44" s="92">
        <f>VLOOKUP(10,$A$4:$AX$32,3,FALSE)</f>
        <v>205277.97</v>
      </c>
      <c r="D44" s="92">
        <f>VLOOKUP(10,$A$4:$AX$32,4,FALSE)</f>
        <v>207501.225</v>
      </c>
      <c r="E44" s="92">
        <f>VLOOKUP(10,$A$4:$AX$32,5,FALSE)</f>
        <v>211013.01</v>
      </c>
      <c r="F44" s="92">
        <f>VLOOKUP(10,$A$4:$AX$32,6,FALSE)</f>
        <v>213396.945</v>
      </c>
      <c r="G44" s="92">
        <f>VLOOKUP(10,$A$4:$AX$32,7,FALSE)</f>
        <v>216315.45</v>
      </c>
      <c r="H44" s="92">
        <f>VLOOKUP(10,$A$4:$AX$32,8,FALSE)</f>
        <v>217305.795</v>
      </c>
      <c r="I44" s="92">
        <f>VLOOKUP(10,$A$4:$AX$32,9,FALSE)</f>
        <v>219672.735</v>
      </c>
      <c r="J44" s="92">
        <f>VLOOKUP(10,$A$4:$AX$32,10,FALSE)</f>
        <v>220968.99</v>
      </c>
      <c r="K44" s="92">
        <f>VLOOKUP(10,$A$4:$AX$32,11,FALSE)</f>
        <v>223337.475</v>
      </c>
      <c r="L44" s="92">
        <f>VLOOKUP(10,$A$4:$AX$32,12,FALSE)</f>
        <v>221194.56</v>
      </c>
      <c r="M44" s="92">
        <f>VLOOKUP(10,$A$4:$AX$32,13,FALSE)</f>
        <v>221600.895</v>
      </c>
      <c r="N44" s="92">
        <f>VLOOKUP(10,$A$4:$AX$32,14,FALSE)</f>
        <v>223547.595</v>
      </c>
      <c r="O44" s="92">
        <f>VLOOKUP(10,$A$4:$AX$32,15,FALSE)</f>
        <v>224429.79</v>
      </c>
      <c r="P44" s="92">
        <f>VLOOKUP(10,$A$4:$AX$32,16,FALSE)</f>
        <v>224409.3434</v>
      </c>
      <c r="Q44" s="92">
        <f>VLOOKUP(10,$A$4:$AX$32,17,FALSE)</f>
        <v>224305.8206</v>
      </c>
      <c r="R44" s="92">
        <f>VLOOKUP(10,$A$4:$AX$32,18,FALSE)</f>
        <v>224240.0911</v>
      </c>
      <c r="S44" s="92">
        <f>VLOOKUP(10,$A$4:$AX$32,19,FALSE)</f>
        <v>225457.0546</v>
      </c>
      <c r="T44" s="92">
        <f>VLOOKUP(10,$A$4:$AX$32,20,FALSE)</f>
        <v>227318.9841</v>
      </c>
      <c r="U44" s="92">
        <f>VLOOKUP(10,$A$4:$AX$32,21,FALSE)</f>
        <v>225918.4527</v>
      </c>
      <c r="V44" s="92">
        <f>VLOOKUP(10,$A$4:$AX$32,22,FALSE)</f>
        <v>227972.5496</v>
      </c>
    </row>
    <row r="45" spans="1:22" ht="12.75">
      <c r="A45">
        <v>11</v>
      </c>
      <c r="B45" s="77" t="s">
        <v>53</v>
      </c>
      <c r="C45" s="92">
        <f>VLOOKUP(11,$A$4:$AX$32,3,FALSE)</f>
        <v>804142.768</v>
      </c>
      <c r="D45" s="92">
        <f>VLOOKUP(11,$A$4:$AX$32,4,FALSE)</f>
        <v>814173.36</v>
      </c>
      <c r="E45" s="92">
        <f>VLOOKUP(11,$A$4:$AX$32,5,FALSE)</f>
        <v>825679.712</v>
      </c>
      <c r="F45" s="92">
        <f>VLOOKUP(11,$A$4:$AX$32,6,FALSE)</f>
        <v>834703.584</v>
      </c>
      <c r="G45" s="92">
        <f>VLOOKUP(11,$A$4:$AX$32,7,FALSE)</f>
        <v>843284.728</v>
      </c>
      <c r="H45" s="92">
        <f>VLOOKUP(11,$A$4:$AX$32,8,FALSE)</f>
        <v>853350.784</v>
      </c>
      <c r="I45" s="92">
        <f>VLOOKUP(11,$A$4:$AX$32,9,FALSE)</f>
        <v>864947.512</v>
      </c>
      <c r="J45" s="92">
        <f>VLOOKUP(11,$A$4:$AX$32,10,FALSE)</f>
        <v>873747.16</v>
      </c>
      <c r="K45" s="92">
        <f>VLOOKUP(11,$A$4:$AX$32,11,FALSE)</f>
        <v>889479.448</v>
      </c>
      <c r="L45" s="92">
        <f>VLOOKUP(11,$A$4:$AX$32,12,FALSE)</f>
        <v>891027.28</v>
      </c>
      <c r="M45" s="92">
        <f>VLOOKUP(11,$A$4:$AX$32,13,FALSE)</f>
        <v>893911.304</v>
      </c>
      <c r="N45" s="92">
        <f>VLOOKUP(11,$A$4:$AX$32,14,FALSE)</f>
        <v>904946.328</v>
      </c>
      <c r="O45" s="92">
        <f>VLOOKUP(11,$A$4:$AX$32,15,FALSE)</f>
        <v>914886.544</v>
      </c>
      <c r="P45" s="92">
        <f>VLOOKUP(11,$A$4:$AX$32,16,FALSE)</f>
        <v>919374.456</v>
      </c>
      <c r="Q45" s="92">
        <f>VLOOKUP(11,$A$4:$AX$32,17,FALSE)</f>
        <v>929853.496</v>
      </c>
      <c r="R45" s="92">
        <f>VLOOKUP(11,$A$4:$AX$32,18,FALSE)</f>
        <v>934217.856</v>
      </c>
      <c r="S45" s="92">
        <f>VLOOKUP(11,$A$4:$AX$32,19,FALSE)</f>
        <v>948108.8145</v>
      </c>
      <c r="T45" s="92">
        <f>VLOOKUP(11,$A$4:$AX$32,20,FALSE)</f>
        <v>952008.779</v>
      </c>
      <c r="U45" s="92">
        <f>VLOOKUP(11,$A$4:$AX$32,21,FALSE)</f>
        <v>938507.364</v>
      </c>
      <c r="V45" s="92">
        <f>VLOOKUP(11,$A$4:$AX$32,22,FALSE)</f>
        <v>937484.824</v>
      </c>
    </row>
    <row r="46" spans="1:22" ht="12.75">
      <c r="A46">
        <v>12</v>
      </c>
      <c r="B46" s="77" t="s">
        <v>54</v>
      </c>
      <c r="C46" s="92">
        <f>VLOOKUP(12,$A$4:$AX$32,3,FALSE)</f>
        <v>514060.9515</v>
      </c>
      <c r="D46" s="92">
        <f>VLOOKUP(12,$A$4:$AX$32,4,FALSE)</f>
        <v>518198.607</v>
      </c>
      <c r="E46" s="92">
        <f>VLOOKUP(12,$A$4:$AX$32,5,FALSE)</f>
        <v>527407.254</v>
      </c>
      <c r="F46" s="92">
        <f>VLOOKUP(12,$A$4:$AX$32,6,FALSE)</f>
        <v>531398.07</v>
      </c>
      <c r="G46" s="92">
        <f>VLOOKUP(12,$A$4:$AX$32,7,FALSE)</f>
        <v>537148.9485</v>
      </c>
      <c r="H46" s="92">
        <f>VLOOKUP(12,$A$4:$AX$32,8,FALSE)</f>
        <v>542308.446</v>
      </c>
      <c r="I46" s="92">
        <f>VLOOKUP(12,$A$4:$AX$32,9,FALSE)</f>
        <v>549712.7775</v>
      </c>
      <c r="J46" s="92">
        <f>VLOOKUP(12,$A$4:$AX$32,10,FALSE)</f>
        <v>556101.3015</v>
      </c>
      <c r="K46" s="92">
        <f>VLOOKUP(12,$A$4:$AX$32,11,FALSE)</f>
        <v>563364.828</v>
      </c>
      <c r="L46" s="92">
        <f>VLOOKUP(12,$A$4:$AX$32,12,FALSE)</f>
        <v>562731.2055</v>
      </c>
      <c r="M46" s="92">
        <f>VLOOKUP(12,$A$4:$AX$32,13,FALSE)</f>
        <v>560228.8995</v>
      </c>
      <c r="N46" s="92">
        <f>VLOOKUP(12,$A$4:$AX$32,14,FALSE)</f>
        <v>564310.233</v>
      </c>
      <c r="O46" s="92">
        <f>VLOOKUP(12,$A$4:$AX$32,15,FALSE)</f>
        <v>566651.619</v>
      </c>
      <c r="P46" s="92">
        <f>VLOOKUP(12,$A$4:$AX$32,16,FALSE)</f>
        <v>569992.7205</v>
      </c>
      <c r="Q46" s="92">
        <f>VLOOKUP(12,$A$4:$AX$32,17,FALSE)</f>
        <v>572167.152</v>
      </c>
      <c r="R46" s="92">
        <f>VLOOKUP(12,$A$4:$AX$32,18,FALSE)</f>
        <v>573138.7065</v>
      </c>
      <c r="S46" s="92">
        <f>VLOOKUP(12,$A$4:$AX$32,19,FALSE)</f>
        <v>580174.3675</v>
      </c>
      <c r="T46" s="92">
        <f>VLOOKUP(12,$A$4:$AX$32,20,FALSE)</f>
        <v>582935.3388</v>
      </c>
      <c r="U46" s="92">
        <f>VLOOKUP(12,$A$4:$AX$32,21,FALSE)</f>
        <v>576607.6111</v>
      </c>
      <c r="V46" s="92">
        <f>VLOOKUP(12,$A$4:$AX$32,22,FALSE)</f>
        <v>580765.9952</v>
      </c>
    </row>
    <row r="47" spans="1:22" ht="12.75">
      <c r="A47">
        <v>13</v>
      </c>
      <c r="B47" s="77" t="s">
        <v>55</v>
      </c>
      <c r="C47" s="92">
        <f>VLOOKUP(13,$A$4:$AX$32,3,FALSE)</f>
        <v>430169.246</v>
      </c>
      <c r="D47" s="92">
        <f>VLOOKUP(13,$A$4:$AX$32,4,FALSE)</f>
        <v>432145.974</v>
      </c>
      <c r="E47" s="92">
        <f>VLOOKUP(13,$A$4:$AX$32,5,FALSE)</f>
        <v>438712.768</v>
      </c>
      <c r="F47" s="92">
        <f>VLOOKUP(13,$A$4:$AX$32,6,FALSE)</f>
        <v>440534.12</v>
      </c>
      <c r="G47" s="92">
        <f>VLOOKUP(13,$A$4:$AX$32,7,FALSE)</f>
        <v>443207.882</v>
      </c>
      <c r="H47" s="92">
        <f>VLOOKUP(13,$A$4:$AX$32,8,FALSE)</f>
        <v>445102.606</v>
      </c>
      <c r="I47" s="92">
        <f>VLOOKUP(13,$A$4:$AX$32,9,FALSE)</f>
        <v>448794.944</v>
      </c>
      <c r="J47" s="92">
        <f>VLOOKUP(13,$A$4:$AX$32,10,FALSE)</f>
        <v>452744.084</v>
      </c>
      <c r="K47" s="92">
        <f>VLOOKUP(13,$A$4:$AX$32,11,FALSE)</f>
        <v>461110.65</v>
      </c>
      <c r="L47" s="92">
        <f>VLOOKUP(13,$A$4:$AX$32,12,FALSE)</f>
        <v>460655.312</v>
      </c>
      <c r="M47" s="92">
        <f>VLOOKUP(13,$A$4:$AX$32,13,FALSE)</f>
        <v>463231.964</v>
      </c>
      <c r="N47" s="92">
        <f>VLOOKUP(13,$A$4:$AX$32,14,FALSE)</f>
        <v>467392.588</v>
      </c>
      <c r="O47" s="92">
        <f>VLOOKUP(13,$A$4:$AX$32,15,FALSE)</f>
        <v>472198.454</v>
      </c>
      <c r="P47" s="92">
        <f>VLOOKUP(13,$A$4:$AX$32,16,FALSE)</f>
        <v>477284.86</v>
      </c>
      <c r="Q47" s="92">
        <f>VLOOKUP(13,$A$4:$AX$32,17,FALSE)</f>
        <v>480031.994</v>
      </c>
      <c r="R47" s="92">
        <f>VLOOKUP(13,$A$4:$AX$32,18,FALSE)</f>
        <v>483191.306</v>
      </c>
      <c r="S47" s="92">
        <f>VLOOKUP(13,$A$4:$AX$32,19,FALSE)</f>
        <v>491536.2156</v>
      </c>
      <c r="T47" s="92">
        <f>VLOOKUP(13,$A$4:$AX$32,20,FALSE)</f>
        <v>496736.2539</v>
      </c>
      <c r="U47" s="92">
        <f>VLOOKUP(13,$A$4:$AX$32,21,FALSE)</f>
        <v>498070.2827</v>
      </c>
      <c r="V47" s="92">
        <f>VLOOKUP(13,$A$4:$AX$32,22,FALSE)</f>
        <v>507131.1125</v>
      </c>
    </row>
    <row r="48" spans="1:22" ht="12.75">
      <c r="A48">
        <v>14</v>
      </c>
      <c r="B48" s="77" t="s">
        <v>56</v>
      </c>
      <c r="C48" s="92">
        <f>VLOOKUP(14,$A$4:$AX$32,3,FALSE)</f>
        <v>32905.184</v>
      </c>
      <c r="D48" s="92">
        <f>VLOOKUP(14,$A$4:$AX$32,4,FALSE)</f>
        <v>34312.2</v>
      </c>
      <c r="E48" s="92">
        <f>VLOOKUP(14,$A$4:$AX$32,5,FALSE)</f>
        <v>36427.04</v>
      </c>
      <c r="F48" s="92">
        <f>VLOOKUP(14,$A$4:$AX$32,6,FALSE)</f>
        <v>37853.478</v>
      </c>
      <c r="G48" s="92">
        <f>VLOOKUP(14,$A$4:$AX$32,7,FALSE)</f>
        <v>39137.488</v>
      </c>
      <c r="H48" s="92">
        <f>VLOOKUP(14,$A$4:$AX$32,8,FALSE)</f>
        <v>40391.286</v>
      </c>
      <c r="I48" s="92">
        <f>VLOOKUP(14,$A$4:$AX$32,9,FALSE)</f>
        <v>41552.29</v>
      </c>
      <c r="J48" s="92">
        <f>VLOOKUP(14,$A$4:$AX$32,10,FALSE)</f>
        <v>43045.626</v>
      </c>
      <c r="K48" s="92">
        <f>VLOOKUP(14,$A$4:$AX$32,11,FALSE)</f>
        <v>44819.502</v>
      </c>
      <c r="L48" s="92">
        <f>VLOOKUP(14,$A$4:$AX$32,12,FALSE)</f>
        <v>45203.626</v>
      </c>
      <c r="M48" s="92">
        <f>VLOOKUP(14,$A$4:$AX$32,13,FALSE)</f>
        <v>46146.672</v>
      </c>
      <c r="N48" s="92">
        <f>VLOOKUP(14,$A$4:$AX$32,14,FALSE)</f>
        <v>48280.934</v>
      </c>
      <c r="O48" s="92">
        <f>VLOOKUP(14,$A$4:$AX$32,15,FALSE)</f>
        <v>49763.48</v>
      </c>
      <c r="P48" s="92">
        <f>VLOOKUP(14,$A$4:$AX$32,16,FALSE)</f>
        <v>51753.156</v>
      </c>
      <c r="Q48" s="92">
        <f>VLOOKUP(14,$A$4:$AX$32,17,FALSE)</f>
        <v>53650.038</v>
      </c>
      <c r="R48" s="92">
        <f>VLOOKUP(14,$A$4:$AX$32,18,FALSE)</f>
        <v>55503.76</v>
      </c>
      <c r="S48" s="92">
        <f>VLOOKUP(14,$A$4:$AX$32,19,FALSE)</f>
        <v>57544.3913</v>
      </c>
      <c r="T48" s="92">
        <f>VLOOKUP(14,$A$4:$AX$32,20,FALSE)</f>
        <v>60249.6866</v>
      </c>
      <c r="U48" s="92">
        <f>VLOOKUP(14,$A$4:$AX$32,21,FALSE)</f>
        <v>62377.9592</v>
      </c>
      <c r="V48" s="92">
        <f>VLOOKUP(14,$A$4:$AX$32,22,FALSE)</f>
        <v>66173.822</v>
      </c>
    </row>
    <row r="49" spans="1:22" ht="12.75">
      <c r="A49">
        <v>15</v>
      </c>
      <c r="B49" s="77" t="s">
        <v>57</v>
      </c>
      <c r="C49" s="92">
        <f>VLOOKUP(15,$A$4:$AX$32,3,FALSE)</f>
        <v>0</v>
      </c>
      <c r="D49" s="92">
        <f>VLOOKUP(15,$A$4:$AX$32,4,FALSE)</f>
        <v>0</v>
      </c>
      <c r="E49" s="92">
        <f>VLOOKUP(15,$A$4:$AX$32,5,FALSE)</f>
        <v>0</v>
      </c>
      <c r="F49" s="92">
        <f>VLOOKUP(15,$A$4:$AX$32,6,FALSE)</f>
        <v>0</v>
      </c>
      <c r="G49" s="92">
        <f>VLOOKUP(15,$A$4:$AX$32,7,FALSE)</f>
        <v>0</v>
      </c>
      <c r="H49" s="92">
        <f>VLOOKUP(15,$A$4:$AX$32,8,FALSE)</f>
        <v>0</v>
      </c>
      <c r="I49" s="92">
        <f>VLOOKUP(15,$A$4:$AX$32,9,FALSE)</f>
        <v>0</v>
      </c>
      <c r="J49" s="92">
        <f>VLOOKUP(15,$A$4:$AX$32,10,FALSE)</f>
        <v>0</v>
      </c>
      <c r="K49" s="92">
        <f>VLOOKUP(15,$A$4:$AX$32,11,FALSE)</f>
        <v>2646.5175</v>
      </c>
      <c r="L49" s="92">
        <f>VLOOKUP(15,$A$4:$AX$32,12,FALSE)</f>
        <v>9055.713</v>
      </c>
      <c r="M49" s="92">
        <f>VLOOKUP(15,$A$4:$AX$32,13,FALSE)</f>
        <v>17159.4345</v>
      </c>
      <c r="N49" s="92">
        <f>VLOOKUP(15,$A$4:$AX$32,14,FALSE)</f>
        <v>28529.553</v>
      </c>
      <c r="O49" s="92">
        <f>VLOOKUP(15,$A$4:$AX$32,15,FALSE)</f>
        <v>42308.427</v>
      </c>
      <c r="P49" s="92">
        <f>VLOOKUP(15,$A$4:$AX$32,16,FALSE)</f>
        <v>57317.5848</v>
      </c>
      <c r="Q49" s="92">
        <f>VLOOKUP(15,$A$4:$AX$32,17,FALSE)</f>
        <v>73492.2584</v>
      </c>
      <c r="R49" s="92">
        <f>VLOOKUP(15,$A$4:$AX$32,18,FALSE)</f>
        <v>90953.055</v>
      </c>
      <c r="S49" s="92">
        <f>VLOOKUP(15,$A$4:$AX$32,19,FALSE)</f>
        <v>112651.1252</v>
      </c>
      <c r="T49" s="92">
        <f>VLOOKUP(15,$A$4:$AX$32,20,FALSE)</f>
        <v>135541.1414</v>
      </c>
      <c r="U49" s="92">
        <f>VLOOKUP(15,$A$4:$AX$32,21,FALSE)</f>
        <v>159745.976</v>
      </c>
      <c r="V49" s="92">
        <f>VLOOKUP(15,$A$4:$AX$32,22,FALSE)</f>
        <v>188333.6687</v>
      </c>
    </row>
    <row r="50" spans="1:22" ht="12.75">
      <c r="A50">
        <v>16</v>
      </c>
      <c r="B50" s="77" t="s">
        <v>58</v>
      </c>
      <c r="C50" s="92">
        <f>VLOOKUP(16,$A$4:$AX$32,3,FALSE)</f>
        <v>233278.335</v>
      </c>
      <c r="D50" s="92">
        <f>VLOOKUP(16,$A$4:$AX$32,4,FALSE)</f>
        <v>244512.2475</v>
      </c>
      <c r="E50" s="92">
        <f>VLOOKUP(16,$A$4:$AX$32,5,FALSE)</f>
        <v>256680.8325</v>
      </c>
      <c r="F50" s="92">
        <f>VLOOKUP(16,$A$4:$AX$32,6,FALSE)</f>
        <v>266985.5625</v>
      </c>
      <c r="G50" s="92">
        <f>VLOOKUP(16,$A$4:$AX$32,7,FALSE)</f>
        <v>276325.425</v>
      </c>
      <c r="H50" s="92">
        <f>VLOOKUP(16,$A$4:$AX$32,8,FALSE)</f>
        <v>285331.77</v>
      </c>
      <c r="I50" s="92">
        <f>VLOOKUP(16,$A$4:$AX$32,9,FALSE)</f>
        <v>294958.485</v>
      </c>
      <c r="J50" s="92">
        <f>VLOOKUP(16,$A$4:$AX$32,10,FALSE)</f>
        <v>303931.89</v>
      </c>
      <c r="K50" s="92">
        <f>VLOOKUP(16,$A$4:$AX$32,11,FALSE)</f>
        <v>314177.6025</v>
      </c>
      <c r="L50" s="92">
        <f>VLOOKUP(16,$A$4:$AX$32,12,FALSE)</f>
        <v>320064.255</v>
      </c>
      <c r="M50" s="92">
        <f>VLOOKUP(16,$A$4:$AX$32,13,FALSE)</f>
        <v>323948.43</v>
      </c>
      <c r="N50" s="92">
        <f>VLOOKUP(16,$A$4:$AX$32,14,FALSE)</f>
        <v>328890.8025</v>
      </c>
      <c r="O50" s="92">
        <f>VLOOKUP(16,$A$4:$AX$32,15,FALSE)</f>
        <v>334899.6075</v>
      </c>
      <c r="P50" s="92">
        <f>VLOOKUP(16,$A$4:$AX$32,16,FALSE)</f>
        <v>340440.39</v>
      </c>
      <c r="Q50" s="92">
        <f>VLOOKUP(16,$A$4:$AX$32,17,FALSE)</f>
        <v>346243.32</v>
      </c>
      <c r="R50" s="92">
        <f>VLOOKUP(16,$A$4:$AX$32,18,FALSE)</f>
        <v>350403.3675</v>
      </c>
      <c r="S50" s="92">
        <f>VLOOKUP(16,$A$4:$AX$32,19,FALSE)</f>
        <v>358604.055</v>
      </c>
      <c r="T50" s="92">
        <f>VLOOKUP(16,$A$4:$AX$32,20,FALSE)</f>
        <v>361729.2375</v>
      </c>
      <c r="U50" s="92">
        <f>VLOOKUP(16,$A$4:$AX$32,21,FALSE)</f>
        <v>362178.045</v>
      </c>
      <c r="V50" s="92">
        <f>VLOOKUP(16,$A$4:$AX$32,22,FALSE)</f>
        <v>367884.9</v>
      </c>
    </row>
    <row r="51" spans="1:22" ht="12.75">
      <c r="A51">
        <v>17</v>
      </c>
      <c r="B51" s="77" t="s">
        <v>59</v>
      </c>
      <c r="C51" s="92">
        <f>VLOOKUP(17,$A$4:$AX$32,3,FALSE)</f>
        <v>33584.673</v>
      </c>
      <c r="D51" s="92">
        <f>VLOOKUP(17,$A$4:$AX$32,4,FALSE)</f>
        <v>35068.941</v>
      </c>
      <c r="E51" s="92">
        <f>VLOOKUP(17,$A$4:$AX$32,5,FALSE)</f>
        <v>37811.52</v>
      </c>
      <c r="F51" s="92">
        <f>VLOOKUP(17,$A$4:$AX$32,6,FALSE)</f>
        <v>39770.505</v>
      </c>
      <c r="G51" s="92">
        <f>VLOOKUP(17,$A$4:$AX$32,7,FALSE)</f>
        <v>41553.285</v>
      </c>
      <c r="H51" s="92">
        <f>VLOOKUP(17,$A$4:$AX$32,8,FALSE)</f>
        <v>42498.573</v>
      </c>
      <c r="I51" s="92">
        <f>VLOOKUP(17,$A$4:$AX$32,9,FALSE)</f>
        <v>44480.361</v>
      </c>
      <c r="J51" s="92">
        <f>VLOOKUP(17,$A$4:$AX$32,10,FALSE)</f>
        <v>46240.338</v>
      </c>
      <c r="K51" s="92">
        <f>VLOOKUP(17,$A$4:$AX$32,11,FALSE)</f>
        <v>48267.732</v>
      </c>
      <c r="L51" s="92">
        <f>VLOOKUP(17,$A$4:$AX$32,12,FALSE)</f>
        <v>49847.358</v>
      </c>
      <c r="M51" s="92">
        <f>VLOOKUP(17,$A$4:$AX$32,13,FALSE)</f>
        <v>51893.409</v>
      </c>
      <c r="N51" s="92">
        <f>VLOOKUP(17,$A$4:$AX$32,14,FALSE)</f>
        <v>53595.342</v>
      </c>
      <c r="O51" s="92">
        <f>VLOOKUP(17,$A$4:$AX$32,15,FALSE)</f>
        <v>55927.467</v>
      </c>
      <c r="P51" s="92">
        <f>VLOOKUP(17,$A$4:$AX$32,16,FALSE)</f>
        <v>57990.102</v>
      </c>
      <c r="Q51" s="92">
        <f>VLOOKUP(17,$A$4:$AX$32,17,FALSE)</f>
        <v>59468.151</v>
      </c>
      <c r="R51" s="92">
        <f>VLOOKUP(17,$A$4:$AX$32,18,FALSE)</f>
        <v>61244.712</v>
      </c>
      <c r="S51" s="92">
        <f>VLOOKUP(17,$A$4:$AX$32,19,FALSE)</f>
        <v>63593.421</v>
      </c>
      <c r="T51" s="92">
        <f>VLOOKUP(17,$A$4:$AX$32,20,FALSE)</f>
        <v>66617.928</v>
      </c>
      <c r="U51" s="92">
        <f>VLOOKUP(17,$A$4:$AX$32,21,FALSE)</f>
        <v>68205.846</v>
      </c>
      <c r="V51" s="92">
        <f>VLOOKUP(17,$A$4:$AX$32,22,FALSE)</f>
        <v>71421.069</v>
      </c>
    </row>
    <row r="52" spans="1:22" ht="12.75">
      <c r="A52">
        <v>18</v>
      </c>
      <c r="B52" s="77" t="s">
        <v>60</v>
      </c>
      <c r="C52" s="92">
        <f>VLOOKUP(18,$A$4:$AX$32,3,FALSE)</f>
        <v>79623.661</v>
      </c>
      <c r="D52" s="92">
        <f>VLOOKUP(18,$A$4:$AX$32,4,FALSE)</f>
        <v>102365.8675</v>
      </c>
      <c r="E52" s="92">
        <f>VLOOKUP(18,$A$4:$AX$32,5,FALSE)</f>
        <v>127873.317</v>
      </c>
      <c r="F52" s="92">
        <f>VLOOKUP(18,$A$4:$AX$32,6,FALSE)</f>
        <v>154010.051</v>
      </c>
      <c r="G52" s="92">
        <f>VLOOKUP(18,$A$4:$AX$32,7,FALSE)</f>
        <v>181824.877</v>
      </c>
      <c r="H52" s="92">
        <f>VLOOKUP(18,$A$4:$AX$32,8,FALSE)</f>
        <v>211308.773</v>
      </c>
      <c r="I52" s="92">
        <f>VLOOKUP(18,$A$4:$AX$32,9,FALSE)</f>
        <v>244117.276</v>
      </c>
      <c r="J52" s="92">
        <f>VLOOKUP(18,$A$4:$AX$32,10,FALSE)</f>
        <v>274837.186</v>
      </c>
      <c r="K52" s="92">
        <f>VLOOKUP(18,$A$4:$AX$32,11,FALSE)</f>
        <v>300507.0315</v>
      </c>
      <c r="L52" s="92">
        <f>VLOOKUP(18,$A$4:$AX$32,12,FALSE)</f>
        <v>322965.045</v>
      </c>
      <c r="M52" s="92">
        <f>VLOOKUP(18,$A$4:$AX$32,13,FALSE)</f>
        <v>338821.21</v>
      </c>
      <c r="N52" s="92">
        <f>VLOOKUP(18,$A$4:$AX$32,14,FALSE)</f>
        <v>353554.136</v>
      </c>
      <c r="O52" s="92">
        <f>VLOOKUP(18,$A$4:$AX$32,15,FALSE)</f>
        <v>365817.2895</v>
      </c>
      <c r="P52" s="92">
        <f>VLOOKUP(18,$A$4:$AX$32,16,FALSE)</f>
        <v>375076.117</v>
      </c>
      <c r="Q52" s="92">
        <f>VLOOKUP(18,$A$4:$AX$32,17,FALSE)</f>
        <v>385140.158</v>
      </c>
      <c r="R52" s="92">
        <f>VLOOKUP(18,$A$4:$AX$32,18,FALSE)</f>
        <v>392224.6835</v>
      </c>
      <c r="S52" s="92">
        <f>VLOOKUP(18,$A$4:$AX$32,19,FALSE)</f>
        <v>402940.564</v>
      </c>
      <c r="T52" s="92">
        <f>VLOOKUP(18,$A$4:$AX$32,20,FALSE)</f>
        <v>410981.4215</v>
      </c>
      <c r="U52" s="92">
        <f>VLOOKUP(18,$A$4:$AX$32,21,FALSE)</f>
        <v>413951.915</v>
      </c>
      <c r="V52" s="92">
        <f>VLOOKUP(18,$A$4:$AX$32,22,FALSE)</f>
        <v>423898.67</v>
      </c>
    </row>
    <row r="53" spans="1:22" ht="12.75">
      <c r="A53">
        <v>19</v>
      </c>
      <c r="B53" s="77" t="s">
        <v>61</v>
      </c>
      <c r="C53" s="92">
        <f>VLOOKUP(19,$A$4:$AX$32,3,FALSE)</f>
        <v>0</v>
      </c>
      <c r="D53" s="92">
        <f>VLOOKUP(19,$A$4:$AX$32,4,FALSE)</f>
        <v>0</v>
      </c>
      <c r="E53" s="92">
        <f>VLOOKUP(19,$A$4:$AX$32,5,FALSE)</f>
        <v>0</v>
      </c>
      <c r="F53" s="92">
        <f>VLOOKUP(19,$A$4:$AX$32,6,FALSE)</f>
        <v>0</v>
      </c>
      <c r="G53" s="92">
        <f>VLOOKUP(19,$A$4:$AX$32,7,FALSE)</f>
        <v>0</v>
      </c>
      <c r="H53" s="92">
        <f>VLOOKUP(19,$A$4:$AX$32,8,FALSE)</f>
        <v>0</v>
      </c>
      <c r="I53" s="92">
        <f>VLOOKUP(19,$A$4:$AX$32,9,FALSE)</f>
        <v>0</v>
      </c>
      <c r="J53" s="92">
        <f>VLOOKUP(19,$A$4:$AX$32,10,FALSE)</f>
        <v>558.808</v>
      </c>
      <c r="K53" s="92">
        <f>VLOOKUP(19,$A$4:$AX$32,11,FALSE)</f>
        <v>3118.999</v>
      </c>
      <c r="L53" s="92">
        <f>VLOOKUP(19,$A$4:$AX$32,12,FALSE)</f>
        <v>8236.344</v>
      </c>
      <c r="M53" s="92">
        <f>VLOOKUP(19,$A$4:$AX$32,13,FALSE)</f>
        <v>13979.311</v>
      </c>
      <c r="N53" s="92">
        <f>VLOOKUP(19,$A$4:$AX$32,14,FALSE)</f>
        <v>21529.293</v>
      </c>
      <c r="O53" s="92">
        <f>VLOOKUP(19,$A$4:$AX$32,15,FALSE)</f>
        <v>31029.029</v>
      </c>
      <c r="P53" s="92">
        <f>VLOOKUP(19,$A$4:$AX$32,16,FALSE)</f>
        <v>40386.026</v>
      </c>
      <c r="Q53" s="92">
        <f>VLOOKUP(19,$A$4:$AX$32,17,FALSE)</f>
        <v>51789.961</v>
      </c>
      <c r="R53" s="92">
        <f>VLOOKUP(19,$A$4:$AX$32,18,FALSE)</f>
        <v>62963.084</v>
      </c>
      <c r="S53" s="92">
        <f>VLOOKUP(19,$A$4:$AX$32,19,FALSE)</f>
        <v>78102.529</v>
      </c>
      <c r="T53" s="92">
        <f>VLOOKUP(19,$A$4:$AX$32,20,FALSE)</f>
        <v>94058.927</v>
      </c>
      <c r="U53" s="92">
        <f>VLOOKUP(19,$A$4:$AX$32,21,FALSE)</f>
        <v>110519.467</v>
      </c>
      <c r="V53" s="92">
        <f>VLOOKUP(19,$A$4:$AX$32,22,FALSE)</f>
        <v>130627.444</v>
      </c>
    </row>
    <row r="54" spans="1:22" ht="12.75">
      <c r="A54">
        <v>20</v>
      </c>
      <c r="B54" s="77" t="s">
        <v>62</v>
      </c>
      <c r="C54" s="92">
        <f>VLOOKUP(20,$A$4:$AX$32,3,FALSE)</f>
        <v>0</v>
      </c>
      <c r="D54" s="92">
        <f>VLOOKUP(20,$A$4:$AX$32,4,FALSE)</f>
        <v>0</v>
      </c>
      <c r="E54" s="92">
        <f>VLOOKUP(20,$A$4:$AX$32,5,FALSE)</f>
        <v>0</v>
      </c>
      <c r="F54" s="92">
        <f>VLOOKUP(20,$A$4:$AX$32,6,FALSE)</f>
        <v>0</v>
      </c>
      <c r="G54" s="92">
        <f>VLOOKUP(20,$A$4:$AX$32,7,FALSE)</f>
        <v>0</v>
      </c>
      <c r="H54" s="92">
        <f>VLOOKUP(20,$A$4:$AX$32,8,FALSE)</f>
        <v>0</v>
      </c>
      <c r="I54" s="92">
        <f>VLOOKUP(20,$A$4:$AX$32,9,FALSE)</f>
        <v>0</v>
      </c>
      <c r="J54" s="92">
        <f>VLOOKUP(20,$A$4:$AX$32,10,FALSE)</f>
        <v>142.08</v>
      </c>
      <c r="K54" s="92">
        <f>VLOOKUP(20,$A$4:$AX$32,11,FALSE)</f>
        <v>1999.776</v>
      </c>
      <c r="L54" s="92">
        <f>VLOOKUP(20,$A$4:$AX$32,12,FALSE)</f>
        <v>4745.472</v>
      </c>
      <c r="M54" s="92">
        <f>VLOOKUP(20,$A$4:$AX$32,13,FALSE)</f>
        <v>8432.448</v>
      </c>
      <c r="N54" s="92">
        <f>VLOOKUP(20,$A$4:$AX$32,14,FALSE)</f>
        <v>13273.824</v>
      </c>
      <c r="O54" s="92">
        <f>VLOOKUP(20,$A$4:$AX$32,15,FALSE)</f>
        <v>19354.848</v>
      </c>
      <c r="P54" s="92">
        <f>VLOOKUP(20,$A$4:$AX$32,16,FALSE)</f>
        <v>25595.712</v>
      </c>
      <c r="Q54" s="92">
        <f>VLOOKUP(20,$A$4:$AX$32,17,FALSE)</f>
        <v>33793.728</v>
      </c>
      <c r="R54" s="92">
        <f>VLOOKUP(20,$A$4:$AX$32,18,FALSE)</f>
        <v>41757.312</v>
      </c>
      <c r="S54" s="92">
        <f>VLOOKUP(20,$A$4:$AX$32,19,FALSE)</f>
        <v>51930.24</v>
      </c>
      <c r="T54" s="92">
        <f>VLOOKUP(20,$A$4:$AX$32,20,FALSE)</f>
        <v>62433.504</v>
      </c>
      <c r="U54" s="92">
        <f>VLOOKUP(20,$A$4:$AX$32,21,FALSE)</f>
        <v>73547.712</v>
      </c>
      <c r="V54" s="92">
        <f>VLOOKUP(20,$A$4:$AX$32,22,FALSE)</f>
        <v>88082.496</v>
      </c>
    </row>
    <row r="55" spans="1:22" ht="12.75">
      <c r="A55">
        <v>21</v>
      </c>
      <c r="B55" s="77" t="s">
        <v>63</v>
      </c>
      <c r="C55" s="92">
        <f>VLOOKUP(21,$A$4:$AX$32,3,FALSE)</f>
        <v>8982.206</v>
      </c>
      <c r="D55" s="92">
        <f>VLOOKUP(21,$A$4:$AX$32,4,FALSE)</f>
        <v>8833.004</v>
      </c>
      <c r="E55" s="92">
        <f>VLOOKUP(21,$A$4:$AX$32,5,FALSE)</f>
        <v>8865.546</v>
      </c>
      <c r="F55" s="92">
        <f>VLOOKUP(21,$A$4:$AX$32,6,FALSE)</f>
        <v>8844.056</v>
      </c>
      <c r="G55" s="92">
        <f>VLOOKUP(21,$A$4:$AX$32,7,FALSE)</f>
        <v>8906.684</v>
      </c>
      <c r="H55" s="92">
        <f>VLOOKUP(21,$A$4:$AX$32,8,FALSE)</f>
        <v>8780.2</v>
      </c>
      <c r="I55" s="92">
        <f>VLOOKUP(21,$A$4:$AX$32,9,FALSE)</f>
        <v>8710.818</v>
      </c>
      <c r="J55" s="92">
        <f>VLOOKUP(21,$A$4:$AX$32,10,FALSE)</f>
        <v>8543.81</v>
      </c>
      <c r="K55" s="92">
        <f>VLOOKUP(21,$A$4:$AX$32,11,FALSE)</f>
        <v>8586.176</v>
      </c>
      <c r="L55" s="92">
        <f>VLOOKUP(21,$A$4:$AX$32,12,FALSE)</f>
        <v>8498.374</v>
      </c>
      <c r="M55" s="92">
        <f>VLOOKUP(21,$A$4:$AX$32,13,FALSE)</f>
        <v>8437.588</v>
      </c>
      <c r="N55" s="92">
        <f>VLOOKUP(21,$A$4:$AX$32,14,FALSE)</f>
        <v>8473.2</v>
      </c>
      <c r="O55" s="92">
        <f>VLOOKUP(21,$A$4:$AX$32,15,FALSE)</f>
        <v>8390.924</v>
      </c>
      <c r="P55" s="92">
        <f>VLOOKUP(21,$A$4:$AX$32,16,FALSE)</f>
        <v>8426.536</v>
      </c>
      <c r="Q55" s="92">
        <f>VLOOKUP(21,$A$4:$AX$32,17,FALSE)</f>
        <v>8275.492</v>
      </c>
      <c r="R55" s="92">
        <f>VLOOKUP(21,$A$4:$AX$32,18,FALSE)</f>
        <v>8147.78</v>
      </c>
      <c r="S55" s="92">
        <f>VLOOKUP(21,$A$4:$AX$32,19,FALSE)</f>
        <v>8206.11</v>
      </c>
      <c r="T55" s="92">
        <f>VLOOKUP(21,$A$4:$AX$32,20,FALSE)</f>
        <v>8071.644</v>
      </c>
      <c r="U55" s="92">
        <f>VLOOKUP(21,$A$4:$AX$32,21,FALSE)</f>
        <v>7792.274</v>
      </c>
      <c r="V55" s="92">
        <f>VLOOKUP(21,$A$4:$AX$32,22,FALSE)</f>
        <v>7934.108</v>
      </c>
    </row>
    <row r="56" spans="1:22" ht="25.5">
      <c r="A56">
        <v>22</v>
      </c>
      <c r="B56" s="77" t="s">
        <v>64</v>
      </c>
      <c r="C56" s="92">
        <f>VLOOKUP(22,$A$4:$AX$32,3,FALSE)</f>
        <v>23075.904</v>
      </c>
      <c r="D56" s="92">
        <f>VLOOKUP(22,$A$4:$AX$32,4,FALSE)</f>
        <v>22681.738</v>
      </c>
      <c r="E56" s="92">
        <f>VLOOKUP(22,$A$4:$AX$32,5,FALSE)</f>
        <v>22778.464</v>
      </c>
      <c r="F56" s="92">
        <f>VLOOKUP(22,$A$4:$AX$32,6,FALSE)</f>
        <v>22541.804</v>
      </c>
      <c r="G56" s="92">
        <f>VLOOKUP(22,$A$4:$AX$32,7,FALSE)</f>
        <v>22668.1795</v>
      </c>
      <c r="H56" s="92">
        <f>VLOOKUP(22,$A$4:$AX$32,8,FALSE)</f>
        <v>22636.685</v>
      </c>
      <c r="I56" s="92">
        <f>VLOOKUP(22,$A$4:$AX$32,9,FALSE)</f>
        <v>22362.243</v>
      </c>
      <c r="J56" s="92">
        <f>VLOOKUP(22,$A$4:$AX$32,10,FALSE)</f>
        <v>22292.486</v>
      </c>
      <c r="K56" s="92">
        <f>VLOOKUP(22,$A$4:$AX$32,11,FALSE)</f>
        <v>22097.8465</v>
      </c>
      <c r="L56" s="92">
        <f>VLOOKUP(22,$A$4:$AX$32,12,FALSE)</f>
        <v>21682.987</v>
      </c>
      <c r="M56" s="92">
        <f>VLOOKUP(22,$A$4:$AX$32,13,FALSE)</f>
        <v>21726.667</v>
      </c>
      <c r="N56" s="92">
        <f>VLOOKUP(22,$A$4:$AX$32,14,FALSE)</f>
        <v>21667.1715</v>
      </c>
      <c r="O56" s="92">
        <f>VLOOKUP(22,$A$4:$AX$32,15,FALSE)</f>
        <v>21578.3135</v>
      </c>
      <c r="P56" s="92">
        <f>VLOOKUP(22,$A$4:$AX$32,16,FALSE)</f>
        <v>21349.035</v>
      </c>
      <c r="Q56" s="92">
        <f>VLOOKUP(22,$A$4:$AX$32,17,FALSE)</f>
        <v>21136.4265</v>
      </c>
      <c r="R56" s="92">
        <f>VLOOKUP(22,$A$4:$AX$32,18,FALSE)</f>
        <v>21126.7225</v>
      </c>
      <c r="S56" s="92">
        <f>VLOOKUP(22,$A$4:$AX$32,19,FALSE)</f>
        <v>20834.563</v>
      </c>
      <c r="T56" s="92">
        <f>VLOOKUP(22,$A$4:$AX$32,20,FALSE)</f>
        <v>20696.9535</v>
      </c>
      <c r="U56" s="92">
        <f>VLOOKUP(22,$A$4:$AX$32,21,FALSE)</f>
        <v>19907.735</v>
      </c>
      <c r="V56" s="92">
        <f>VLOOKUP(22,$A$4:$AX$32,22,FALSE)</f>
        <v>19410.177</v>
      </c>
    </row>
    <row r="57" spans="1:22" ht="25.5">
      <c r="A57">
        <v>23</v>
      </c>
      <c r="B57" s="77" t="s">
        <v>65</v>
      </c>
      <c r="C57" s="92">
        <f>VLOOKUP(23,$A$4:$AX$32,3,FALSE)</f>
        <v>2448.534</v>
      </c>
      <c r="D57" s="92">
        <f>VLOOKUP(23,$A$4:$AX$32,4,FALSE)</f>
        <v>2435.9875</v>
      </c>
      <c r="E57" s="92">
        <f>VLOOKUP(23,$A$4:$AX$32,5,FALSE)</f>
        <v>2459.436</v>
      </c>
      <c r="F57" s="92">
        <f>VLOOKUP(23,$A$4:$AX$32,6,FALSE)</f>
        <v>2466.359</v>
      </c>
      <c r="G57" s="92">
        <f>VLOOKUP(23,$A$4:$AX$32,7,FALSE)</f>
        <v>2508.656</v>
      </c>
      <c r="H57" s="92">
        <f>VLOOKUP(23,$A$4:$AX$32,8,FALSE)</f>
        <v>2526.3775</v>
      </c>
      <c r="I57" s="92">
        <f>VLOOKUP(23,$A$4:$AX$32,9,FALSE)</f>
        <v>2553.5405</v>
      </c>
      <c r="J57" s="92">
        <f>VLOOKUP(23,$A$4:$AX$32,10,FALSE)</f>
        <v>2567.4555</v>
      </c>
      <c r="K57" s="92">
        <f>VLOOKUP(23,$A$4:$AX$32,11,FALSE)</f>
        <v>2636.4095</v>
      </c>
      <c r="L57" s="92">
        <f>VLOOKUP(23,$A$4:$AX$32,12,FALSE)</f>
        <v>2653.5905</v>
      </c>
      <c r="M57" s="92">
        <f>VLOOKUP(23,$A$4:$AX$32,13,FALSE)</f>
        <v>2670.461</v>
      </c>
      <c r="N57" s="92">
        <f>VLOOKUP(23,$A$4:$AX$32,14,FALSE)</f>
        <v>2722.924</v>
      </c>
      <c r="O57" s="92">
        <f>VLOOKUP(23,$A$4:$AX$32,15,FALSE)</f>
        <v>2775.6975</v>
      </c>
      <c r="P57" s="92">
        <f>VLOOKUP(23,$A$4:$AX$32,16,FALSE)</f>
        <v>2831.6565</v>
      </c>
      <c r="Q57" s="92">
        <f>VLOOKUP(23,$A$4:$AX$32,17,FALSE)</f>
        <v>2884.614</v>
      </c>
      <c r="R57" s="92">
        <f>VLOOKUP(23,$A$4:$AX$32,18,FALSE)</f>
        <v>2903.2095</v>
      </c>
      <c r="S57" s="92">
        <f>VLOOKUP(23,$A$4:$AX$32,19,FALSE)</f>
        <v>2918.3205</v>
      </c>
      <c r="T57" s="92">
        <f>VLOOKUP(23,$A$4:$AX$32,20,FALSE)</f>
        <v>2964.102</v>
      </c>
      <c r="U57" s="92">
        <f>VLOOKUP(23,$A$4:$AX$32,21,FALSE)</f>
        <v>2961.779</v>
      </c>
      <c r="V57" s="92">
        <f>VLOOKUP(23,$A$4:$AX$32,22,FALSE)</f>
        <v>3008.6645</v>
      </c>
    </row>
    <row r="58" spans="1:22" ht="25.5">
      <c r="A58">
        <v>24</v>
      </c>
      <c r="B58" s="77" t="s">
        <v>66</v>
      </c>
      <c r="C58" s="92">
        <f>VLOOKUP(24,$A$4:$AX$32,3,FALSE)</f>
        <v>2129.687</v>
      </c>
      <c r="D58" s="92">
        <f>VLOOKUP(24,$A$4:$AX$32,4,FALSE)</f>
        <v>2053.198</v>
      </c>
      <c r="E58" s="92">
        <f>VLOOKUP(24,$A$4:$AX$32,5,FALSE)</f>
        <v>2016.84</v>
      </c>
      <c r="F58" s="92">
        <f>VLOOKUP(24,$A$4:$AX$32,6,FALSE)</f>
        <v>2008.265</v>
      </c>
      <c r="G58" s="92">
        <f>VLOOKUP(24,$A$4:$AX$32,7,FALSE)</f>
        <v>1998.661</v>
      </c>
      <c r="H58" s="92">
        <f>VLOOKUP(24,$A$4:$AX$32,8,FALSE)</f>
        <v>1946.525</v>
      </c>
      <c r="I58" s="92">
        <f>VLOOKUP(24,$A$4:$AX$32,9,FALSE)</f>
        <v>1926.288</v>
      </c>
      <c r="J58" s="92">
        <f>VLOOKUP(24,$A$4:$AX$32,10,FALSE)</f>
        <v>1890.273</v>
      </c>
      <c r="K58" s="92">
        <f>VLOOKUP(24,$A$4:$AX$32,11,FALSE)</f>
        <v>1867.635</v>
      </c>
      <c r="L58" s="92">
        <f>VLOOKUP(24,$A$4:$AX$32,12,FALSE)</f>
        <v>1827.161</v>
      </c>
      <c r="M58" s="92">
        <f>VLOOKUP(24,$A$4:$AX$32,13,FALSE)</f>
        <v>1808.982</v>
      </c>
      <c r="N58" s="92">
        <f>VLOOKUP(24,$A$4:$AX$32,14,FALSE)</f>
        <v>1808.982</v>
      </c>
      <c r="O58" s="92">
        <f>VLOOKUP(24,$A$4:$AX$32,15,FALSE)</f>
        <v>1770.909</v>
      </c>
      <c r="P58" s="92">
        <f>VLOOKUP(24,$A$4:$AX$32,16,FALSE)</f>
        <v>1737.295</v>
      </c>
      <c r="Q58" s="92">
        <f>VLOOKUP(24,$A$4:$AX$32,17,FALSE)</f>
        <v>1677.613</v>
      </c>
      <c r="R58" s="92">
        <f>VLOOKUP(24,$A$4:$AX$32,18,FALSE)</f>
        <v>1630.279</v>
      </c>
      <c r="S58" s="92">
        <f>VLOOKUP(24,$A$4:$AX$32,19,FALSE)</f>
        <v>1594.264</v>
      </c>
      <c r="T58" s="92">
        <f>VLOOKUP(24,$A$4:$AX$32,20,FALSE)</f>
        <v>1542.471</v>
      </c>
      <c r="U58" s="92">
        <f>VLOOKUP(24,$A$4:$AX$32,21,FALSE)</f>
        <v>1459.122</v>
      </c>
      <c r="V58" s="92">
        <f>VLOOKUP(24,$A$4:$AX$32,22,FALSE)</f>
        <v>1402.87</v>
      </c>
    </row>
    <row r="59" spans="1:22" ht="25.5">
      <c r="A59">
        <v>25</v>
      </c>
      <c r="B59" s="77" t="s">
        <v>67</v>
      </c>
      <c r="C59" s="92">
        <f>VLOOKUP(25,$A$4:$AX$32,3,FALSE)</f>
        <v>0</v>
      </c>
      <c r="D59" s="92">
        <f>VLOOKUP(25,$A$4:$AX$32,4,FALSE)</f>
        <v>0</v>
      </c>
      <c r="E59" s="92">
        <f>VLOOKUP(25,$A$4:$AX$32,5,FALSE)</f>
        <v>0</v>
      </c>
      <c r="F59" s="92">
        <f>VLOOKUP(25,$A$4:$AX$32,6,FALSE)</f>
        <v>0</v>
      </c>
      <c r="G59" s="92">
        <f>VLOOKUP(25,$A$4:$AX$32,7,FALSE)</f>
        <v>0</v>
      </c>
      <c r="H59" s="92">
        <f>VLOOKUP(25,$A$4:$AX$32,8,FALSE)</f>
        <v>0</v>
      </c>
      <c r="I59" s="92">
        <f>VLOOKUP(25,$A$4:$AX$32,9,FALSE)</f>
        <v>0</v>
      </c>
      <c r="J59" s="92">
        <f>VLOOKUP(25,$A$4:$AX$32,10,FALSE)</f>
        <v>0</v>
      </c>
      <c r="K59" s="92">
        <f>VLOOKUP(25,$A$4:$AX$32,11,FALSE)</f>
        <v>0</v>
      </c>
      <c r="L59" s="92">
        <f>VLOOKUP(25,$A$4:$AX$32,12,FALSE)</f>
        <v>279.7005</v>
      </c>
      <c r="M59" s="92">
        <f>VLOOKUP(25,$A$4:$AX$32,13,FALSE)</f>
        <v>1689.6435</v>
      </c>
      <c r="N59" s="92">
        <f>VLOOKUP(25,$A$4:$AX$32,14,FALSE)</f>
        <v>4705.596</v>
      </c>
      <c r="O59" s="92">
        <f>VLOOKUP(25,$A$4:$AX$32,15,FALSE)</f>
        <v>8601.2835</v>
      </c>
      <c r="P59" s="92">
        <f>VLOOKUP(25,$A$4:$AX$32,16,FALSE)</f>
        <v>13457.973</v>
      </c>
      <c r="Q59" s="92">
        <f>VLOOKUP(25,$A$4:$AX$32,17,FALSE)</f>
        <v>18677.997</v>
      </c>
      <c r="R59" s="92">
        <f>VLOOKUP(25,$A$4:$AX$32,18,FALSE)</f>
        <v>23998.6185</v>
      </c>
      <c r="S59" s="92">
        <f>VLOOKUP(25,$A$4:$AX$32,19,FALSE)</f>
        <v>30602.5485</v>
      </c>
      <c r="T59" s="92">
        <f>VLOOKUP(25,$A$4:$AX$32,20,FALSE)</f>
        <v>37195.038</v>
      </c>
      <c r="U59" s="92">
        <f>VLOOKUP(25,$A$4:$AX$32,21,FALSE)</f>
        <v>43674.7005</v>
      </c>
      <c r="V59" s="92">
        <f>VLOOKUP(25,$A$4:$AX$32,22,FALSE)</f>
        <v>51303.5415</v>
      </c>
    </row>
    <row r="60" spans="1:22" ht="25.5">
      <c r="A60">
        <v>26</v>
      </c>
      <c r="B60" s="77" t="s">
        <v>68</v>
      </c>
      <c r="C60" s="92">
        <f>VLOOKUP(26,$A$4:$AX$32,3,FALSE)</f>
        <v>284447.638</v>
      </c>
      <c r="D60" s="92">
        <f>VLOOKUP(26,$A$4:$AX$32,4,FALSE)</f>
        <v>284784.844</v>
      </c>
      <c r="E60" s="92">
        <f>VLOOKUP(26,$A$4:$AX$32,5,FALSE)</f>
        <v>286146.738</v>
      </c>
      <c r="F60" s="92">
        <f>VLOOKUP(26,$A$4:$AX$32,6,FALSE)</f>
        <v>286180.72</v>
      </c>
      <c r="G60" s="92">
        <f>VLOOKUP(26,$A$4:$AX$32,7,FALSE)</f>
        <v>287200.8335</v>
      </c>
      <c r="H60" s="92">
        <f>VLOOKUP(26,$A$4:$AX$32,8,FALSE)</f>
        <v>287187.11</v>
      </c>
      <c r="I60" s="92">
        <f>VLOOKUP(26,$A$4:$AX$32,9,FALSE)</f>
        <v>286464.339</v>
      </c>
      <c r="J60" s="92">
        <f>VLOOKUP(26,$A$4:$AX$32,10,FALSE)</f>
        <v>286065.0505</v>
      </c>
      <c r="K60" s="92">
        <f>VLOOKUP(26,$A$4:$AX$32,11,FALSE)</f>
        <v>287694.8795</v>
      </c>
      <c r="L60" s="92">
        <f>VLOOKUP(26,$A$4:$AX$32,12,FALSE)</f>
        <v>284799.221</v>
      </c>
      <c r="M60" s="92">
        <f>VLOOKUP(26,$A$4:$AX$32,13,FALSE)</f>
        <v>280987.3555</v>
      </c>
      <c r="N60" s="92">
        <f>VLOOKUP(26,$A$4:$AX$32,14,FALSE)</f>
        <v>277435.3335</v>
      </c>
      <c r="O60" s="92">
        <f>VLOOKUP(26,$A$4:$AX$32,15,FALSE)</f>
        <v>270350.0175</v>
      </c>
      <c r="P60" s="92">
        <f>VLOOKUP(26,$A$4:$AX$32,16,FALSE)</f>
        <v>261009.309</v>
      </c>
      <c r="Q60" s="92">
        <f>VLOOKUP(26,$A$4:$AX$32,17,FALSE)</f>
        <v>251383.516</v>
      </c>
      <c r="R60" s="92">
        <f>VLOOKUP(26,$A$4:$AX$32,18,FALSE)</f>
        <v>240618.36</v>
      </c>
      <c r="S60" s="92">
        <f>VLOOKUP(26,$A$4:$AX$32,19,FALSE)</f>
        <v>229311.579</v>
      </c>
      <c r="T60" s="92">
        <f>VLOOKUP(26,$A$4:$AX$32,20,FALSE)</f>
        <v>216073.8805</v>
      </c>
      <c r="U60" s="92">
        <f>VLOOKUP(26,$A$4:$AX$32,21,FALSE)</f>
        <v>201682.9605</v>
      </c>
      <c r="V60" s="92">
        <f>VLOOKUP(26,$A$4:$AX$32,22,FALSE)</f>
        <v>190207.367</v>
      </c>
    </row>
    <row r="61" spans="1:22" ht="25.5">
      <c r="A61">
        <v>27</v>
      </c>
      <c r="B61" s="77" t="s">
        <v>69</v>
      </c>
      <c r="C61" s="92">
        <f>VLOOKUP(27,$A$4:$AX$32,3,FALSE)</f>
        <v>168747.7095</v>
      </c>
      <c r="D61" s="92">
        <f>VLOOKUP(27,$A$4:$AX$32,4,FALSE)</f>
        <v>167137.325</v>
      </c>
      <c r="E61" s="92">
        <f>VLOOKUP(27,$A$4:$AX$32,5,FALSE)</f>
        <v>166567.2275</v>
      </c>
      <c r="F61" s="92">
        <f>VLOOKUP(27,$A$4:$AX$32,6,FALSE)</f>
        <v>165426.8125</v>
      </c>
      <c r="G61" s="92">
        <f>VLOOKUP(27,$A$4:$AX$32,7,FALSE)</f>
        <v>164937.6495</v>
      </c>
      <c r="H61" s="92">
        <f>VLOOKUP(27,$A$4:$AX$32,8,FALSE)</f>
        <v>164367.4575</v>
      </c>
      <c r="I61" s="92">
        <f>VLOOKUP(27,$A$4:$AX$32,9,FALSE)</f>
        <v>164731.835</v>
      </c>
      <c r="J61" s="92">
        <f>VLOOKUP(27,$A$4:$AX$32,10,FALSE)</f>
        <v>165086.057</v>
      </c>
      <c r="K61" s="92">
        <f>VLOOKUP(27,$A$4:$AX$32,11,FALSE)</f>
        <v>166143.2565</v>
      </c>
      <c r="L61" s="92">
        <f>VLOOKUP(27,$A$4:$AX$32,12,FALSE)</f>
        <v>164542.8535</v>
      </c>
      <c r="M61" s="92">
        <f>VLOOKUP(27,$A$4:$AX$32,13,FALSE)</f>
        <v>163187.9905</v>
      </c>
      <c r="N61" s="92">
        <f>VLOOKUP(27,$A$4:$AX$32,14,FALSE)</f>
        <v>162613.103</v>
      </c>
      <c r="O61" s="92">
        <f>VLOOKUP(27,$A$4:$AX$32,15,FALSE)</f>
        <v>161466.3555</v>
      </c>
      <c r="P61" s="92">
        <f>VLOOKUP(27,$A$4:$AX$32,16,FALSE)</f>
        <v>159499.7575</v>
      </c>
      <c r="Q61" s="92">
        <f>VLOOKUP(27,$A$4:$AX$32,17,FALSE)</f>
        <v>158081.839</v>
      </c>
      <c r="R61" s="92">
        <f>VLOOKUP(27,$A$4:$AX$32,18,FALSE)</f>
        <v>155664.8955</v>
      </c>
      <c r="S61" s="92">
        <f>VLOOKUP(27,$A$4:$AX$32,19,FALSE)</f>
        <v>154193.4895</v>
      </c>
      <c r="T61" s="92">
        <f>VLOOKUP(27,$A$4:$AX$32,20,FALSE)</f>
        <v>151633.8285</v>
      </c>
      <c r="U61" s="92">
        <f>VLOOKUP(27,$A$4:$AX$32,21,FALSE)</f>
        <v>147619.6285</v>
      </c>
      <c r="V61" s="92">
        <f>VLOOKUP(27,$A$4:$AX$32,22,FALSE)</f>
        <v>145446.6145</v>
      </c>
    </row>
    <row r="62" spans="1:22" ht="25.5">
      <c r="A62">
        <v>28</v>
      </c>
      <c r="B62" s="77" t="s">
        <v>70</v>
      </c>
      <c r="C62" s="92">
        <f>VLOOKUP(28,$A$4:$AX$32,3,FALSE)</f>
        <v>23812.393</v>
      </c>
      <c r="D62" s="92">
        <f>VLOOKUP(28,$A$4:$AX$32,4,FALSE)</f>
        <v>23560.2235</v>
      </c>
      <c r="E62" s="92">
        <f>VLOOKUP(28,$A$4:$AX$32,5,FALSE)</f>
        <v>23425.1415</v>
      </c>
      <c r="F62" s="92">
        <f>VLOOKUP(28,$A$4:$AX$32,6,FALSE)</f>
        <v>23267.8745</v>
      </c>
      <c r="G62" s="92">
        <f>VLOOKUP(28,$A$4:$AX$32,7,FALSE)</f>
        <v>23213.6445</v>
      </c>
      <c r="H62" s="92">
        <f>VLOOKUP(28,$A$4:$AX$32,8,FALSE)</f>
        <v>22927.7045</v>
      </c>
      <c r="I62" s="92">
        <f>VLOOKUP(28,$A$4:$AX$32,9,FALSE)</f>
        <v>22838.4715</v>
      </c>
      <c r="J62" s="92">
        <f>VLOOKUP(28,$A$4:$AX$32,10,FALSE)</f>
        <v>22763.289</v>
      </c>
      <c r="K62" s="92">
        <f>VLOOKUP(28,$A$4:$AX$32,11,FALSE)</f>
        <v>22827.379</v>
      </c>
      <c r="L62" s="92">
        <f>VLOOKUP(28,$A$4:$AX$32,12,FALSE)</f>
        <v>22561.159</v>
      </c>
      <c r="M62" s="92">
        <f>VLOOKUP(28,$A$4:$AX$32,13,FALSE)</f>
        <v>22201.5155</v>
      </c>
      <c r="N62" s="92">
        <f>VLOOKUP(28,$A$4:$AX$32,14,FALSE)</f>
        <v>22065.694</v>
      </c>
      <c r="O62" s="92">
        <f>VLOOKUP(28,$A$4:$AX$32,15,FALSE)</f>
        <v>21861.3455</v>
      </c>
      <c r="P62" s="92">
        <f>VLOOKUP(28,$A$4:$AX$32,16,FALSE)</f>
        <v>21773.345</v>
      </c>
      <c r="Q62" s="92">
        <f>VLOOKUP(28,$A$4:$AX$32,17,FALSE)</f>
        <v>21667.843</v>
      </c>
      <c r="R62" s="92">
        <f>VLOOKUP(28,$A$4:$AX$32,18,FALSE)</f>
        <v>21392.0095</v>
      </c>
      <c r="S62" s="92">
        <f>VLOOKUP(28,$A$4:$AX$32,19,FALSE)</f>
        <v>21164.7365</v>
      </c>
      <c r="T62" s="92">
        <f>VLOOKUP(28,$A$4:$AX$32,20,FALSE)</f>
        <v>21044.691</v>
      </c>
      <c r="U62" s="92">
        <f>VLOOKUP(28,$A$4:$AX$32,21,FALSE)</f>
        <v>20520.8785</v>
      </c>
      <c r="V62" s="92">
        <f>VLOOKUP(28,$A$4:$AX$32,22,FALSE)</f>
        <v>20469.36</v>
      </c>
    </row>
    <row r="63" spans="1:22" ht="12.75">
      <c r="A63">
        <v>29</v>
      </c>
      <c r="B63" s="77" t="s">
        <v>71</v>
      </c>
      <c r="C63" s="92">
        <f>VLOOKUP(29,$A$4:$AX$32,3,FALSE)</f>
        <v>0</v>
      </c>
      <c r="D63" s="92">
        <f>VLOOKUP(29,$A$4:$AX$32,4,FALSE)</f>
        <v>0</v>
      </c>
      <c r="E63" s="92">
        <f>VLOOKUP(29,$A$4:$AX$32,5,FALSE)</f>
        <v>0</v>
      </c>
      <c r="F63" s="92">
        <f>VLOOKUP(29,$A$4:$AX$32,6,FALSE)</f>
        <v>0</v>
      </c>
      <c r="G63" s="92">
        <f>VLOOKUP(29,$A$4:$AX$32,7,FALSE)</f>
        <v>0</v>
      </c>
      <c r="H63" s="92">
        <f>VLOOKUP(29,$A$4:$AX$32,8,FALSE)</f>
        <v>0</v>
      </c>
      <c r="I63" s="92">
        <f>VLOOKUP(29,$A$4:$AX$32,9,FALSE)</f>
        <v>0</v>
      </c>
      <c r="J63" s="92">
        <f>VLOOKUP(29,$A$4:$AX$32,10,FALSE)</f>
        <v>0</v>
      </c>
      <c r="K63" s="92">
        <f>VLOOKUP(29,$A$4:$AX$32,11,FALSE)</f>
        <v>0</v>
      </c>
      <c r="L63" s="92">
        <f>VLOOKUP(29,$A$4:$AX$32,12,FALSE)</f>
        <v>0</v>
      </c>
      <c r="M63" s="92">
        <f>VLOOKUP(29,$A$4:$AX$32,13,FALSE)</f>
        <v>0</v>
      </c>
      <c r="N63" s="92">
        <f>VLOOKUP(29,$A$4:$AX$32,14,FALSE)</f>
        <v>0</v>
      </c>
      <c r="O63" s="92">
        <f>VLOOKUP(29,$A$4:$AX$32,15,FALSE)</f>
        <v>0</v>
      </c>
      <c r="P63" s="92">
        <f>VLOOKUP(29,$A$4:$AX$32,16,FALSE)</f>
        <v>0</v>
      </c>
      <c r="Q63" s="92">
        <f>VLOOKUP(29,$A$4:$AX$32,17,FALSE)</f>
        <v>0</v>
      </c>
      <c r="R63" s="92">
        <f>VLOOKUP(29,$A$4:$AX$32,18,FALSE)</f>
        <v>0</v>
      </c>
      <c r="S63" s="92">
        <f>VLOOKUP(29,$A$4:$AX$32,19,FALSE)</f>
        <v>0</v>
      </c>
      <c r="T63" s="92">
        <f>VLOOKUP(29,$A$4:$AX$32,20,FALSE)</f>
        <v>0</v>
      </c>
      <c r="U63" s="92">
        <f>VLOOKUP(29,$A$4:$AX$32,21,FALSE)</f>
        <v>0</v>
      </c>
      <c r="V63" s="92">
        <f>VLOOKUP(29,$A$4:$AX$32,22,FALSE)</f>
        <v>407.236</v>
      </c>
    </row>
    <row r="64" spans="2:22" ht="12.75">
      <c r="B64" s="44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</row>
    <row r="65" spans="2:22" ht="13.5" thickBot="1">
      <c r="B65" s="9" t="s">
        <v>0</v>
      </c>
      <c r="C65" s="12">
        <v>38504</v>
      </c>
      <c r="D65" s="12">
        <v>38534</v>
      </c>
      <c r="E65" s="12">
        <v>38565</v>
      </c>
      <c r="F65" s="12">
        <v>38596</v>
      </c>
      <c r="G65" s="12">
        <v>38626</v>
      </c>
      <c r="H65" s="12">
        <v>38657</v>
      </c>
      <c r="I65" s="12">
        <v>38687</v>
      </c>
      <c r="J65" s="12">
        <v>38718</v>
      </c>
      <c r="K65" s="12">
        <v>38749</v>
      </c>
      <c r="L65" s="12">
        <v>38777</v>
      </c>
      <c r="M65" s="12">
        <v>38808</v>
      </c>
      <c r="N65" s="12">
        <v>38838</v>
      </c>
      <c r="O65" s="12">
        <v>38869</v>
      </c>
      <c r="P65" s="12">
        <v>38899</v>
      </c>
      <c r="Q65" s="12">
        <v>38930</v>
      </c>
      <c r="R65" s="12">
        <v>38961</v>
      </c>
      <c r="S65" s="12">
        <v>38991</v>
      </c>
      <c r="T65" s="12">
        <v>39022</v>
      </c>
      <c r="U65" s="12">
        <v>39052</v>
      </c>
      <c r="V65" s="12">
        <v>39083</v>
      </c>
    </row>
    <row r="66" spans="2:22" ht="13.5" thickTop="1">
      <c r="B66" s="97" t="s">
        <v>1</v>
      </c>
      <c r="C66" s="100">
        <f aca="true" t="shared" si="0" ref="C66:R66">IF(ISERROR(C35),0,C35)</f>
        <v>0</v>
      </c>
      <c r="D66" s="100">
        <f t="shared" si="0"/>
        <v>0</v>
      </c>
      <c r="E66" s="100">
        <f t="shared" si="0"/>
        <v>0</v>
      </c>
      <c r="F66" s="100">
        <f t="shared" si="0"/>
        <v>0</v>
      </c>
      <c r="G66" s="100">
        <f t="shared" si="0"/>
        <v>0</v>
      </c>
      <c r="H66" s="100">
        <f t="shared" si="0"/>
        <v>0</v>
      </c>
      <c r="I66" s="100">
        <f t="shared" si="0"/>
        <v>10.764</v>
      </c>
      <c r="J66" s="100">
        <f t="shared" si="0"/>
        <v>89.424</v>
      </c>
      <c r="K66" s="100">
        <f t="shared" si="0"/>
        <v>187.128</v>
      </c>
      <c r="L66" s="100">
        <f t="shared" si="0"/>
        <v>298.08</v>
      </c>
      <c r="M66" s="100">
        <f t="shared" si="0"/>
        <v>517.5</v>
      </c>
      <c r="N66" s="100">
        <f t="shared" si="0"/>
        <v>767.142</v>
      </c>
      <c r="O66" s="100">
        <f t="shared" si="0"/>
        <v>1048.662</v>
      </c>
      <c r="P66" s="100">
        <f t="shared" si="0"/>
        <v>1309.068</v>
      </c>
      <c r="Q66" s="100">
        <f t="shared" si="0"/>
        <v>1646.064</v>
      </c>
      <c r="R66" s="100">
        <f t="shared" si="0"/>
        <v>1957.806</v>
      </c>
      <c r="S66" s="100">
        <f aca="true" t="shared" si="1" ref="D66:V78">IF(ISERROR(S35),0,S35)</f>
        <v>2373.462</v>
      </c>
      <c r="T66" s="100">
        <f t="shared" si="1"/>
        <v>2799.468</v>
      </c>
      <c r="U66" s="100">
        <f t="shared" si="1"/>
        <v>3125.286</v>
      </c>
      <c r="V66" s="100">
        <f t="shared" si="1"/>
        <v>3413.43</v>
      </c>
    </row>
    <row r="67" spans="2:22" ht="12.75">
      <c r="B67" s="99" t="s">
        <v>2</v>
      </c>
      <c r="C67" s="100">
        <f aca="true" t="shared" si="2" ref="C67:C94">IF(ISERROR(C36),0,C36)</f>
        <v>900517.311</v>
      </c>
      <c r="D67" s="100">
        <f t="shared" si="1"/>
        <v>885364.785</v>
      </c>
      <c r="E67" s="100">
        <f t="shared" si="1"/>
        <v>875124.1235</v>
      </c>
      <c r="F67" s="100">
        <f t="shared" si="1"/>
        <v>859298.6925</v>
      </c>
      <c r="G67" s="100">
        <f t="shared" si="1"/>
        <v>845036.943</v>
      </c>
      <c r="H67" s="100">
        <f t="shared" si="1"/>
        <v>828874.841</v>
      </c>
      <c r="I67" s="100">
        <f t="shared" si="1"/>
        <v>813219.195</v>
      </c>
      <c r="J67" s="100">
        <f t="shared" si="1"/>
        <v>799161.4005</v>
      </c>
      <c r="K67" s="100">
        <f t="shared" si="1"/>
        <v>791449.6835</v>
      </c>
      <c r="L67" s="100">
        <f t="shared" si="1"/>
        <v>767444.3815</v>
      </c>
      <c r="M67" s="100">
        <f t="shared" si="1"/>
        <v>746860.177</v>
      </c>
      <c r="N67" s="100">
        <f t="shared" si="1"/>
        <v>733009.817</v>
      </c>
      <c r="O67" s="100">
        <f t="shared" si="1"/>
        <v>723745.3315</v>
      </c>
      <c r="P67" s="100">
        <f t="shared" si="1"/>
        <v>713544.0785</v>
      </c>
      <c r="Q67" s="100">
        <f t="shared" si="1"/>
        <v>705683.631</v>
      </c>
      <c r="R67" s="100">
        <f t="shared" si="1"/>
        <v>696465.393</v>
      </c>
      <c r="S67" s="100">
        <f t="shared" si="1"/>
        <v>693889.484</v>
      </c>
      <c r="T67" s="100">
        <f t="shared" si="1"/>
        <v>685031.665</v>
      </c>
      <c r="U67" s="100">
        <f t="shared" si="1"/>
        <v>674435.156</v>
      </c>
      <c r="V67" s="100">
        <f t="shared" si="1"/>
        <v>671244.7055</v>
      </c>
    </row>
    <row r="68" spans="2:22" ht="12.75">
      <c r="B68" s="99" t="s">
        <v>3</v>
      </c>
      <c r="C68" s="100">
        <f t="shared" si="2"/>
        <v>292689.9765</v>
      </c>
      <c r="D68" s="100">
        <f t="shared" si="1"/>
        <v>292685.283</v>
      </c>
      <c r="E68" s="100">
        <f t="shared" si="1"/>
        <v>294619.5945</v>
      </c>
      <c r="F68" s="100">
        <f t="shared" si="1"/>
        <v>294409.2195</v>
      </c>
      <c r="G68" s="100">
        <f t="shared" si="1"/>
        <v>294038.9</v>
      </c>
      <c r="H68" s="100">
        <f t="shared" si="1"/>
        <v>293740.375</v>
      </c>
      <c r="I68" s="100">
        <f t="shared" si="1"/>
        <v>291398.7375</v>
      </c>
      <c r="J68" s="100">
        <f t="shared" si="1"/>
        <v>288835</v>
      </c>
      <c r="K68" s="100">
        <f t="shared" si="1"/>
        <v>287874.0875</v>
      </c>
      <c r="L68" s="100">
        <f t="shared" si="1"/>
        <v>282382.4625</v>
      </c>
      <c r="M68" s="100">
        <f t="shared" si="1"/>
        <v>276445.4125</v>
      </c>
      <c r="N68" s="100">
        <f t="shared" si="1"/>
        <v>270632</v>
      </c>
      <c r="O68" s="100">
        <f t="shared" si="1"/>
        <v>267137.2625</v>
      </c>
      <c r="P68" s="100">
        <f t="shared" si="1"/>
        <v>262891.3</v>
      </c>
      <c r="Q68" s="100">
        <f t="shared" si="1"/>
        <v>258867.2875</v>
      </c>
      <c r="R68" s="100">
        <f t="shared" si="1"/>
        <v>254225.6875</v>
      </c>
      <c r="S68" s="100">
        <f t="shared" si="1"/>
        <v>252413.5875</v>
      </c>
      <c r="T68" s="100">
        <f t="shared" si="1"/>
        <v>248186.0625</v>
      </c>
      <c r="U68" s="100">
        <f t="shared" si="1"/>
        <v>242474.5947</v>
      </c>
      <c r="V68" s="100">
        <f t="shared" si="1"/>
        <v>241492.8769</v>
      </c>
    </row>
    <row r="69" spans="2:22" ht="12.75">
      <c r="B69" s="99" t="s">
        <v>42</v>
      </c>
      <c r="C69" s="100">
        <f t="shared" si="2"/>
        <v>0</v>
      </c>
      <c r="D69" s="100">
        <f t="shared" si="1"/>
        <v>0</v>
      </c>
      <c r="E69" s="100">
        <f t="shared" si="1"/>
        <v>0</v>
      </c>
      <c r="F69" s="100">
        <f t="shared" si="1"/>
        <v>0</v>
      </c>
      <c r="G69" s="100">
        <f t="shared" si="1"/>
        <v>0</v>
      </c>
      <c r="H69" s="100">
        <f t="shared" si="1"/>
        <v>0</v>
      </c>
      <c r="I69" s="100">
        <f t="shared" si="1"/>
        <v>0</v>
      </c>
      <c r="J69" s="100">
        <f t="shared" si="1"/>
        <v>0</v>
      </c>
      <c r="K69" s="100">
        <f t="shared" si="1"/>
        <v>0</v>
      </c>
      <c r="L69" s="100">
        <f t="shared" si="1"/>
        <v>0</v>
      </c>
      <c r="M69" s="100">
        <f t="shared" si="1"/>
        <v>0</v>
      </c>
      <c r="N69" s="100">
        <f t="shared" si="1"/>
        <v>0</v>
      </c>
      <c r="O69" s="100">
        <f t="shared" si="1"/>
        <v>0</v>
      </c>
      <c r="P69" s="100">
        <f t="shared" si="1"/>
        <v>0</v>
      </c>
      <c r="Q69" s="100">
        <f t="shared" si="1"/>
        <v>0</v>
      </c>
      <c r="R69" s="100">
        <f t="shared" si="1"/>
        <v>0</v>
      </c>
      <c r="S69" s="100">
        <f t="shared" si="1"/>
        <v>35.614</v>
      </c>
      <c r="T69" s="100">
        <f t="shared" si="1"/>
        <v>92.103</v>
      </c>
      <c r="U69" s="100">
        <f t="shared" si="1"/>
        <v>180.3185</v>
      </c>
      <c r="V69" s="100">
        <f t="shared" si="1"/>
        <v>350.332</v>
      </c>
    </row>
    <row r="70" spans="2:22" ht="12.75">
      <c r="B70" s="99" t="s">
        <v>4</v>
      </c>
      <c r="C70" s="100">
        <f t="shared" si="2"/>
        <v>956682.3465</v>
      </c>
      <c r="D70" s="100">
        <f t="shared" si="1"/>
        <v>952292.8515</v>
      </c>
      <c r="E70" s="100">
        <f t="shared" si="1"/>
        <v>953046.723</v>
      </c>
      <c r="F70" s="100">
        <f t="shared" si="1"/>
        <v>947696.2845</v>
      </c>
      <c r="G70" s="100">
        <f t="shared" si="1"/>
        <v>943960.3605</v>
      </c>
      <c r="H70" s="100">
        <f t="shared" si="1"/>
        <v>937419.258</v>
      </c>
      <c r="I70" s="100">
        <f t="shared" si="1"/>
        <v>931858.512</v>
      </c>
      <c r="J70" s="100">
        <f t="shared" si="1"/>
        <v>927861.591</v>
      </c>
      <c r="K70" s="100">
        <f t="shared" si="1"/>
        <v>928301.619</v>
      </c>
      <c r="L70" s="100">
        <f t="shared" si="1"/>
        <v>913966.197</v>
      </c>
      <c r="M70" s="100">
        <f t="shared" si="1"/>
        <v>903382.8765</v>
      </c>
      <c r="N70" s="100">
        <f t="shared" si="1"/>
        <v>895798.8645</v>
      </c>
      <c r="O70" s="100">
        <f t="shared" si="1"/>
        <v>888961.1745</v>
      </c>
      <c r="P70" s="100">
        <f t="shared" si="1"/>
        <v>877465.664</v>
      </c>
      <c r="Q70" s="100">
        <f t="shared" si="1"/>
        <v>862438.814</v>
      </c>
      <c r="R70" s="100">
        <f t="shared" si="1"/>
        <v>842058.9717</v>
      </c>
      <c r="S70" s="100">
        <f t="shared" si="1"/>
        <v>826284.7181</v>
      </c>
      <c r="T70" s="100">
        <f t="shared" si="1"/>
        <v>804073.5684</v>
      </c>
      <c r="U70" s="100">
        <f t="shared" si="1"/>
        <v>777736.6616</v>
      </c>
      <c r="V70" s="100">
        <f t="shared" si="1"/>
        <v>761469.8579</v>
      </c>
    </row>
    <row r="71" spans="2:22" ht="12.75">
      <c r="B71" s="99" t="s">
        <v>5</v>
      </c>
      <c r="C71" s="100">
        <f t="shared" si="2"/>
        <v>705310.3255</v>
      </c>
      <c r="D71" s="100">
        <f t="shared" si="1"/>
        <v>706801.997</v>
      </c>
      <c r="E71" s="100">
        <f t="shared" si="1"/>
        <v>709587.527</v>
      </c>
      <c r="F71" s="100">
        <f t="shared" si="1"/>
        <v>708570.203</v>
      </c>
      <c r="G71" s="100">
        <f t="shared" si="1"/>
        <v>709611.749</v>
      </c>
      <c r="H71" s="100">
        <f t="shared" si="1"/>
        <v>708461.204</v>
      </c>
      <c r="I71" s="100">
        <f t="shared" si="1"/>
        <v>707044.217</v>
      </c>
      <c r="J71" s="100">
        <f t="shared" si="1"/>
        <v>703982.1525</v>
      </c>
      <c r="K71" s="100">
        <f t="shared" si="1"/>
        <v>706458.852</v>
      </c>
      <c r="L71" s="100">
        <f t="shared" si="1"/>
        <v>697587.5445</v>
      </c>
      <c r="M71" s="100">
        <f t="shared" si="1"/>
        <v>691392.768</v>
      </c>
      <c r="N71" s="100">
        <f t="shared" si="1"/>
        <v>690298.741</v>
      </c>
      <c r="O71" s="100">
        <f t="shared" si="1"/>
        <v>689632.636</v>
      </c>
      <c r="P71" s="100">
        <f t="shared" si="1"/>
        <v>679724.2135</v>
      </c>
      <c r="Q71" s="100">
        <f t="shared" si="1"/>
        <v>671023.6475</v>
      </c>
      <c r="R71" s="100">
        <f t="shared" si="1"/>
        <v>655202.6615</v>
      </c>
      <c r="S71" s="100">
        <f t="shared" si="1"/>
        <v>642496.0813</v>
      </c>
      <c r="T71" s="100">
        <f t="shared" si="1"/>
        <v>626770.3854</v>
      </c>
      <c r="U71" s="100">
        <f t="shared" si="1"/>
        <v>606920.0482</v>
      </c>
      <c r="V71" s="100">
        <f t="shared" si="1"/>
        <v>593092.9993</v>
      </c>
    </row>
    <row r="72" spans="2:22" ht="12.75">
      <c r="B72" s="99" t="s">
        <v>38</v>
      </c>
      <c r="C72" s="100">
        <f t="shared" si="2"/>
        <v>0</v>
      </c>
      <c r="D72" s="100">
        <f t="shared" si="1"/>
        <v>0</v>
      </c>
      <c r="E72" s="100">
        <f t="shared" si="1"/>
        <v>0</v>
      </c>
      <c r="F72" s="100">
        <f t="shared" si="1"/>
        <v>0</v>
      </c>
      <c r="G72" s="100">
        <f t="shared" si="1"/>
        <v>0</v>
      </c>
      <c r="H72" s="100">
        <f t="shared" si="1"/>
        <v>0</v>
      </c>
      <c r="I72" s="100">
        <f t="shared" si="1"/>
        <v>0</v>
      </c>
      <c r="J72" s="100">
        <f t="shared" si="1"/>
        <v>0</v>
      </c>
      <c r="K72" s="100">
        <f t="shared" si="1"/>
        <v>0</v>
      </c>
      <c r="L72" s="100">
        <f t="shared" si="1"/>
        <v>0</v>
      </c>
      <c r="M72" s="100">
        <f t="shared" si="1"/>
        <v>0</v>
      </c>
      <c r="N72" s="100">
        <f t="shared" si="1"/>
        <v>0</v>
      </c>
      <c r="O72" s="100">
        <f t="shared" si="1"/>
        <v>1114.568</v>
      </c>
      <c r="P72" s="100">
        <f t="shared" si="1"/>
        <v>3628.47</v>
      </c>
      <c r="Q72" s="100">
        <f t="shared" si="1"/>
        <v>6742.524</v>
      </c>
      <c r="R72" s="100">
        <f t="shared" si="1"/>
        <v>10579.21</v>
      </c>
      <c r="S72" s="100">
        <f t="shared" si="1"/>
        <v>16790.2723</v>
      </c>
      <c r="T72" s="100">
        <f t="shared" si="1"/>
        <v>23542.8579</v>
      </c>
      <c r="U72" s="100">
        <f t="shared" si="1"/>
        <v>31287.2856</v>
      </c>
      <c r="V72" s="100">
        <f t="shared" si="1"/>
        <v>39636.2536</v>
      </c>
    </row>
    <row r="73" spans="2:22" ht="12.75">
      <c r="B73" s="99" t="s">
        <v>6</v>
      </c>
      <c r="C73" s="100">
        <f t="shared" si="2"/>
        <v>48614.61</v>
      </c>
      <c r="D73" s="100">
        <f t="shared" si="1"/>
        <v>48392.4</v>
      </c>
      <c r="E73" s="100">
        <f t="shared" si="1"/>
        <v>48357.011</v>
      </c>
      <c r="F73" s="100">
        <f t="shared" si="1"/>
        <v>48306.808</v>
      </c>
      <c r="G73" s="100">
        <f t="shared" si="1"/>
        <v>48315.861</v>
      </c>
      <c r="H73" s="100">
        <f t="shared" si="1"/>
        <v>48557.823</v>
      </c>
      <c r="I73" s="100">
        <f t="shared" si="1"/>
        <v>48803.077</v>
      </c>
      <c r="J73" s="100">
        <f t="shared" si="1"/>
        <v>49067.26</v>
      </c>
      <c r="K73" s="100">
        <f t="shared" si="1"/>
        <v>49959.392</v>
      </c>
      <c r="L73" s="100">
        <f t="shared" si="1"/>
        <v>50103.417</v>
      </c>
      <c r="M73" s="100">
        <f t="shared" si="1"/>
        <v>50269.663</v>
      </c>
      <c r="N73" s="100">
        <f t="shared" si="1"/>
        <v>50567.589</v>
      </c>
      <c r="O73" s="100">
        <f t="shared" si="1"/>
        <v>50801.321</v>
      </c>
      <c r="P73" s="100">
        <f t="shared" si="1"/>
        <v>50728.897</v>
      </c>
      <c r="Q73" s="100">
        <f t="shared" si="1"/>
        <v>51038.9813</v>
      </c>
      <c r="R73" s="100">
        <f t="shared" si="1"/>
        <v>50602.7063</v>
      </c>
      <c r="S73" s="100">
        <f t="shared" si="1"/>
        <v>50942.6564</v>
      </c>
      <c r="T73" s="100">
        <f t="shared" si="1"/>
        <v>50810.0667</v>
      </c>
      <c r="U73" s="100">
        <f t="shared" si="1"/>
        <v>50523.2235</v>
      </c>
      <c r="V73" s="100">
        <f t="shared" si="1"/>
        <v>50800.9284</v>
      </c>
    </row>
    <row r="74" spans="2:22" ht="12.75">
      <c r="B74" s="99" t="s">
        <v>7</v>
      </c>
      <c r="C74" s="100">
        <f t="shared" si="2"/>
        <v>124063.191</v>
      </c>
      <c r="D74" s="100">
        <f t="shared" si="1"/>
        <v>124208.112</v>
      </c>
      <c r="E74" s="100">
        <f t="shared" si="1"/>
        <v>125041.9485</v>
      </c>
      <c r="F74" s="100">
        <f t="shared" si="1"/>
        <v>124626.6525</v>
      </c>
      <c r="G74" s="100">
        <f t="shared" si="1"/>
        <v>124357.359</v>
      </c>
      <c r="H74" s="100">
        <f t="shared" si="1"/>
        <v>123478.0995</v>
      </c>
      <c r="I74" s="100">
        <f t="shared" si="1"/>
        <v>122883.2745</v>
      </c>
      <c r="J74" s="100">
        <f t="shared" si="1"/>
        <v>122245.1895</v>
      </c>
      <c r="K74" s="100">
        <f t="shared" si="1"/>
        <v>122602.0845</v>
      </c>
      <c r="L74" s="100">
        <f t="shared" si="1"/>
        <v>120924.678</v>
      </c>
      <c r="M74" s="100">
        <f t="shared" si="1"/>
        <v>119831.2815</v>
      </c>
      <c r="N74" s="100">
        <f t="shared" si="1"/>
        <v>119052.6015</v>
      </c>
      <c r="O74" s="100">
        <f t="shared" si="1"/>
        <v>118278.2475</v>
      </c>
      <c r="P74" s="100">
        <f t="shared" si="1"/>
        <v>117434.6775</v>
      </c>
      <c r="Q74" s="100">
        <f t="shared" si="1"/>
        <v>116468.235</v>
      </c>
      <c r="R74" s="100">
        <f t="shared" si="1"/>
        <v>115127.7915</v>
      </c>
      <c r="S74" s="100">
        <f t="shared" si="1"/>
        <v>114775.974</v>
      </c>
      <c r="T74" s="100">
        <f t="shared" si="1"/>
        <v>114326.1165</v>
      </c>
      <c r="U74" s="100">
        <f t="shared" si="1"/>
        <v>113107.583</v>
      </c>
      <c r="V74" s="100">
        <f t="shared" si="1"/>
        <v>113587.1195</v>
      </c>
    </row>
    <row r="75" spans="2:22" ht="12.75">
      <c r="B75" s="99" t="s">
        <v>8</v>
      </c>
      <c r="C75" s="100">
        <f t="shared" si="2"/>
        <v>205277.97</v>
      </c>
      <c r="D75" s="100">
        <f t="shared" si="1"/>
        <v>207501.225</v>
      </c>
      <c r="E75" s="100">
        <f t="shared" si="1"/>
        <v>211013.01</v>
      </c>
      <c r="F75" s="100">
        <f t="shared" si="1"/>
        <v>213396.945</v>
      </c>
      <c r="G75" s="100">
        <f t="shared" si="1"/>
        <v>216315.45</v>
      </c>
      <c r="H75" s="100">
        <f t="shared" si="1"/>
        <v>217305.795</v>
      </c>
      <c r="I75" s="100">
        <f t="shared" si="1"/>
        <v>219672.735</v>
      </c>
      <c r="J75" s="100">
        <f t="shared" si="1"/>
        <v>220968.99</v>
      </c>
      <c r="K75" s="100">
        <f t="shared" si="1"/>
        <v>223337.475</v>
      </c>
      <c r="L75" s="100">
        <f t="shared" si="1"/>
        <v>221194.56</v>
      </c>
      <c r="M75" s="100">
        <f t="shared" si="1"/>
        <v>221600.895</v>
      </c>
      <c r="N75" s="100">
        <f t="shared" si="1"/>
        <v>223547.595</v>
      </c>
      <c r="O75" s="100">
        <f t="shared" si="1"/>
        <v>224429.79</v>
      </c>
      <c r="P75" s="100">
        <f t="shared" si="1"/>
        <v>224409.3434</v>
      </c>
      <c r="Q75" s="100">
        <f t="shared" si="1"/>
        <v>224305.8206</v>
      </c>
      <c r="R75" s="100">
        <f t="shared" si="1"/>
        <v>224240.0911</v>
      </c>
      <c r="S75" s="100">
        <f t="shared" si="1"/>
        <v>225457.0546</v>
      </c>
      <c r="T75" s="100">
        <f t="shared" si="1"/>
        <v>227318.9841</v>
      </c>
      <c r="U75" s="100">
        <f t="shared" si="1"/>
        <v>225918.4527</v>
      </c>
      <c r="V75" s="100">
        <f t="shared" si="1"/>
        <v>227972.5496</v>
      </c>
    </row>
    <row r="76" spans="2:22" ht="12.75">
      <c r="B76" s="99" t="s">
        <v>9</v>
      </c>
      <c r="C76" s="100">
        <f t="shared" si="2"/>
        <v>804142.768</v>
      </c>
      <c r="D76" s="100">
        <f t="shared" si="1"/>
        <v>814173.36</v>
      </c>
      <c r="E76" s="100">
        <f t="shared" si="1"/>
        <v>825679.712</v>
      </c>
      <c r="F76" s="100">
        <f t="shared" si="1"/>
        <v>834703.584</v>
      </c>
      <c r="G76" s="100">
        <f t="shared" si="1"/>
        <v>843284.728</v>
      </c>
      <c r="H76" s="100">
        <f t="shared" si="1"/>
        <v>853350.784</v>
      </c>
      <c r="I76" s="100">
        <f t="shared" si="1"/>
        <v>864947.512</v>
      </c>
      <c r="J76" s="100">
        <f t="shared" si="1"/>
        <v>873747.16</v>
      </c>
      <c r="K76" s="100">
        <f t="shared" si="1"/>
        <v>889479.448</v>
      </c>
      <c r="L76" s="100">
        <f t="shared" si="1"/>
        <v>891027.28</v>
      </c>
      <c r="M76" s="100">
        <f t="shared" si="1"/>
        <v>893911.304</v>
      </c>
      <c r="N76" s="100">
        <f t="shared" si="1"/>
        <v>904946.328</v>
      </c>
      <c r="O76" s="100">
        <f t="shared" si="1"/>
        <v>914886.544</v>
      </c>
      <c r="P76" s="100">
        <f t="shared" si="1"/>
        <v>919374.456</v>
      </c>
      <c r="Q76" s="100">
        <f t="shared" si="1"/>
        <v>929853.496</v>
      </c>
      <c r="R76" s="100">
        <f t="shared" si="1"/>
        <v>934217.856</v>
      </c>
      <c r="S76" s="100">
        <f t="shared" si="1"/>
        <v>948108.8145</v>
      </c>
      <c r="T76" s="100">
        <f t="shared" si="1"/>
        <v>952008.779</v>
      </c>
      <c r="U76" s="100">
        <f t="shared" si="1"/>
        <v>938507.364</v>
      </c>
      <c r="V76" s="100">
        <f t="shared" si="1"/>
        <v>937484.824</v>
      </c>
    </row>
    <row r="77" spans="2:22" ht="12.75">
      <c r="B77" s="99" t="s">
        <v>10</v>
      </c>
      <c r="C77" s="100">
        <f t="shared" si="2"/>
        <v>514060.9515</v>
      </c>
      <c r="D77" s="100">
        <f t="shared" si="1"/>
        <v>518198.607</v>
      </c>
      <c r="E77" s="100">
        <f t="shared" si="1"/>
        <v>527407.254</v>
      </c>
      <c r="F77" s="100">
        <f t="shared" si="1"/>
        <v>531398.07</v>
      </c>
      <c r="G77" s="100">
        <f t="shared" si="1"/>
        <v>537148.9485</v>
      </c>
      <c r="H77" s="100">
        <f t="shared" si="1"/>
        <v>542308.446</v>
      </c>
      <c r="I77" s="100">
        <f t="shared" si="1"/>
        <v>549712.7775</v>
      </c>
      <c r="J77" s="100">
        <f t="shared" si="1"/>
        <v>556101.3015</v>
      </c>
      <c r="K77" s="100">
        <f t="shared" si="1"/>
        <v>563364.828</v>
      </c>
      <c r="L77" s="100">
        <f t="shared" si="1"/>
        <v>562731.2055</v>
      </c>
      <c r="M77" s="100">
        <f t="shared" si="1"/>
        <v>560228.8995</v>
      </c>
      <c r="N77" s="100">
        <f t="shared" si="1"/>
        <v>564310.233</v>
      </c>
      <c r="O77" s="100">
        <f t="shared" si="1"/>
        <v>566651.619</v>
      </c>
      <c r="P77" s="100">
        <f t="shared" si="1"/>
        <v>569992.7205</v>
      </c>
      <c r="Q77" s="100">
        <f t="shared" si="1"/>
        <v>572167.152</v>
      </c>
      <c r="R77" s="100">
        <f t="shared" si="1"/>
        <v>573138.7065</v>
      </c>
      <c r="S77" s="100">
        <f t="shared" si="1"/>
        <v>580174.3675</v>
      </c>
      <c r="T77" s="100">
        <f t="shared" si="1"/>
        <v>582935.3388</v>
      </c>
      <c r="U77" s="100">
        <f t="shared" si="1"/>
        <v>576607.6111</v>
      </c>
      <c r="V77" s="100">
        <f t="shared" si="1"/>
        <v>580765.9952</v>
      </c>
    </row>
    <row r="78" spans="2:22" ht="12.75">
      <c r="B78" s="99" t="s">
        <v>11</v>
      </c>
      <c r="C78" s="100">
        <f t="shared" si="2"/>
        <v>430169.246</v>
      </c>
      <c r="D78" s="100">
        <f t="shared" si="1"/>
        <v>432145.974</v>
      </c>
      <c r="E78" s="100">
        <f t="shared" si="1"/>
        <v>438712.768</v>
      </c>
      <c r="F78" s="100">
        <f t="shared" si="1"/>
        <v>440534.12</v>
      </c>
      <c r="G78" s="100">
        <f t="shared" si="1"/>
        <v>443207.882</v>
      </c>
      <c r="H78" s="100">
        <f t="shared" si="1"/>
        <v>445102.606</v>
      </c>
      <c r="I78" s="100">
        <f t="shared" si="1"/>
        <v>448794.944</v>
      </c>
      <c r="J78" s="100">
        <f t="shared" si="1"/>
        <v>452744.084</v>
      </c>
      <c r="K78" s="100">
        <f t="shared" si="1"/>
        <v>461110.65</v>
      </c>
      <c r="L78" s="100">
        <f t="shared" si="1"/>
        <v>460655.312</v>
      </c>
      <c r="M78" s="100">
        <f t="shared" si="1"/>
        <v>463231.964</v>
      </c>
      <c r="N78" s="100">
        <f t="shared" si="1"/>
        <v>467392.588</v>
      </c>
      <c r="O78" s="100">
        <f t="shared" si="1"/>
        <v>472198.454</v>
      </c>
      <c r="P78" s="100">
        <f t="shared" si="1"/>
        <v>477284.86</v>
      </c>
      <c r="Q78" s="100">
        <f t="shared" si="1"/>
        <v>480031.994</v>
      </c>
      <c r="R78" s="100">
        <f t="shared" si="1"/>
        <v>483191.306</v>
      </c>
      <c r="S78" s="100">
        <f t="shared" si="1"/>
        <v>491536.2156</v>
      </c>
      <c r="T78" s="100">
        <f t="shared" si="1"/>
        <v>496736.2539</v>
      </c>
      <c r="U78" s="100">
        <f t="shared" si="1"/>
        <v>498070.2827</v>
      </c>
      <c r="V78" s="100">
        <f aca="true" t="shared" si="3" ref="D78:V90">IF(ISERROR(V47),0,V47)</f>
        <v>507131.1125</v>
      </c>
    </row>
    <row r="79" spans="2:22" ht="12.75">
      <c r="B79" s="99" t="s">
        <v>12</v>
      </c>
      <c r="C79" s="100">
        <f t="shared" si="2"/>
        <v>32905.184</v>
      </c>
      <c r="D79" s="100">
        <f t="shared" si="3"/>
        <v>34312.2</v>
      </c>
      <c r="E79" s="100">
        <f t="shared" si="3"/>
        <v>36427.04</v>
      </c>
      <c r="F79" s="100">
        <f t="shared" si="3"/>
        <v>37853.478</v>
      </c>
      <c r="G79" s="100">
        <f t="shared" si="3"/>
        <v>39137.488</v>
      </c>
      <c r="H79" s="100">
        <f t="shared" si="3"/>
        <v>40391.286</v>
      </c>
      <c r="I79" s="100">
        <f t="shared" si="3"/>
        <v>41552.29</v>
      </c>
      <c r="J79" s="100">
        <f t="shared" si="3"/>
        <v>43045.626</v>
      </c>
      <c r="K79" s="100">
        <f t="shared" si="3"/>
        <v>44819.502</v>
      </c>
      <c r="L79" s="100">
        <f t="shared" si="3"/>
        <v>45203.626</v>
      </c>
      <c r="M79" s="100">
        <f t="shared" si="3"/>
        <v>46146.672</v>
      </c>
      <c r="N79" s="100">
        <f t="shared" si="3"/>
        <v>48280.934</v>
      </c>
      <c r="O79" s="100">
        <f t="shared" si="3"/>
        <v>49763.48</v>
      </c>
      <c r="P79" s="100">
        <f t="shared" si="3"/>
        <v>51753.156</v>
      </c>
      <c r="Q79" s="100">
        <f t="shared" si="3"/>
        <v>53650.038</v>
      </c>
      <c r="R79" s="100">
        <f t="shared" si="3"/>
        <v>55503.76</v>
      </c>
      <c r="S79" s="100">
        <f t="shared" si="3"/>
        <v>57544.3913</v>
      </c>
      <c r="T79" s="100">
        <f t="shared" si="3"/>
        <v>60249.6866</v>
      </c>
      <c r="U79" s="100">
        <f t="shared" si="3"/>
        <v>62377.9592</v>
      </c>
      <c r="V79" s="100">
        <f t="shared" si="3"/>
        <v>66173.822</v>
      </c>
    </row>
    <row r="80" spans="2:22" ht="12.75">
      <c r="B80" s="99" t="s">
        <v>13</v>
      </c>
      <c r="C80" s="100">
        <f t="shared" si="2"/>
        <v>0</v>
      </c>
      <c r="D80" s="100">
        <f t="shared" si="3"/>
        <v>0</v>
      </c>
      <c r="E80" s="100">
        <f t="shared" si="3"/>
        <v>0</v>
      </c>
      <c r="F80" s="100">
        <f t="shared" si="3"/>
        <v>0</v>
      </c>
      <c r="G80" s="100">
        <f t="shared" si="3"/>
        <v>0</v>
      </c>
      <c r="H80" s="100">
        <f t="shared" si="3"/>
        <v>0</v>
      </c>
      <c r="I80" s="100">
        <f t="shared" si="3"/>
        <v>0</v>
      </c>
      <c r="J80" s="100">
        <f t="shared" si="3"/>
        <v>0</v>
      </c>
      <c r="K80" s="100">
        <f t="shared" si="3"/>
        <v>2646.5175</v>
      </c>
      <c r="L80" s="100">
        <f t="shared" si="3"/>
        <v>9055.713</v>
      </c>
      <c r="M80" s="100">
        <f t="shared" si="3"/>
        <v>17159.4345</v>
      </c>
      <c r="N80" s="100">
        <f t="shared" si="3"/>
        <v>28529.553</v>
      </c>
      <c r="O80" s="100">
        <f t="shared" si="3"/>
        <v>42308.427</v>
      </c>
      <c r="P80" s="100">
        <f t="shared" si="3"/>
        <v>57317.5848</v>
      </c>
      <c r="Q80" s="100">
        <f t="shared" si="3"/>
        <v>73492.2584</v>
      </c>
      <c r="R80" s="100">
        <f t="shared" si="3"/>
        <v>90953.055</v>
      </c>
      <c r="S80" s="100">
        <f t="shared" si="3"/>
        <v>112651.1252</v>
      </c>
      <c r="T80" s="100">
        <f t="shared" si="3"/>
        <v>135541.1414</v>
      </c>
      <c r="U80" s="100">
        <f t="shared" si="3"/>
        <v>159745.976</v>
      </c>
      <c r="V80" s="100">
        <f t="shared" si="3"/>
        <v>188333.6687</v>
      </c>
    </row>
    <row r="81" spans="2:22" ht="12.75">
      <c r="B81" s="99" t="s">
        <v>14</v>
      </c>
      <c r="C81" s="100">
        <f t="shared" si="2"/>
        <v>233278.335</v>
      </c>
      <c r="D81" s="100">
        <f t="shared" si="3"/>
        <v>244512.2475</v>
      </c>
      <c r="E81" s="100">
        <f t="shared" si="3"/>
        <v>256680.8325</v>
      </c>
      <c r="F81" s="100">
        <f t="shared" si="3"/>
        <v>266985.5625</v>
      </c>
      <c r="G81" s="100">
        <f t="shared" si="3"/>
        <v>276325.425</v>
      </c>
      <c r="H81" s="100">
        <f t="shared" si="3"/>
        <v>285331.77</v>
      </c>
      <c r="I81" s="100">
        <f t="shared" si="3"/>
        <v>294958.485</v>
      </c>
      <c r="J81" s="100">
        <f t="shared" si="3"/>
        <v>303931.89</v>
      </c>
      <c r="K81" s="100">
        <f t="shared" si="3"/>
        <v>314177.6025</v>
      </c>
      <c r="L81" s="100">
        <f t="shared" si="3"/>
        <v>320064.255</v>
      </c>
      <c r="M81" s="100">
        <f t="shared" si="3"/>
        <v>323948.43</v>
      </c>
      <c r="N81" s="100">
        <f t="shared" si="3"/>
        <v>328890.8025</v>
      </c>
      <c r="O81" s="100">
        <f t="shared" si="3"/>
        <v>334899.6075</v>
      </c>
      <c r="P81" s="100">
        <f t="shared" si="3"/>
        <v>340440.39</v>
      </c>
      <c r="Q81" s="100">
        <f t="shared" si="3"/>
        <v>346243.32</v>
      </c>
      <c r="R81" s="100">
        <f t="shared" si="3"/>
        <v>350403.3675</v>
      </c>
      <c r="S81" s="100">
        <f t="shared" si="3"/>
        <v>358604.055</v>
      </c>
      <c r="T81" s="100">
        <f t="shared" si="3"/>
        <v>361729.2375</v>
      </c>
      <c r="U81" s="100">
        <f t="shared" si="3"/>
        <v>362178.045</v>
      </c>
      <c r="V81" s="100">
        <f t="shared" si="3"/>
        <v>367884.9</v>
      </c>
    </row>
    <row r="82" spans="2:22" ht="12.75">
      <c r="B82" s="99" t="s">
        <v>15</v>
      </c>
      <c r="C82" s="100">
        <f t="shared" si="2"/>
        <v>33584.673</v>
      </c>
      <c r="D82" s="100">
        <f t="shared" si="3"/>
        <v>35068.941</v>
      </c>
      <c r="E82" s="100">
        <f t="shared" si="3"/>
        <v>37811.52</v>
      </c>
      <c r="F82" s="100">
        <f t="shared" si="3"/>
        <v>39770.505</v>
      </c>
      <c r="G82" s="100">
        <f t="shared" si="3"/>
        <v>41553.285</v>
      </c>
      <c r="H82" s="100">
        <f t="shared" si="3"/>
        <v>42498.573</v>
      </c>
      <c r="I82" s="100">
        <f t="shared" si="3"/>
        <v>44480.361</v>
      </c>
      <c r="J82" s="100">
        <f t="shared" si="3"/>
        <v>46240.338</v>
      </c>
      <c r="K82" s="100">
        <f t="shared" si="3"/>
        <v>48267.732</v>
      </c>
      <c r="L82" s="100">
        <f t="shared" si="3"/>
        <v>49847.358</v>
      </c>
      <c r="M82" s="100">
        <f t="shared" si="3"/>
        <v>51893.409</v>
      </c>
      <c r="N82" s="100">
        <f t="shared" si="3"/>
        <v>53595.342</v>
      </c>
      <c r="O82" s="100">
        <f t="shared" si="3"/>
        <v>55927.467</v>
      </c>
      <c r="P82" s="100">
        <f t="shared" si="3"/>
        <v>57990.102</v>
      </c>
      <c r="Q82" s="100">
        <f t="shared" si="3"/>
        <v>59468.151</v>
      </c>
      <c r="R82" s="100">
        <f t="shared" si="3"/>
        <v>61244.712</v>
      </c>
      <c r="S82" s="100">
        <f t="shared" si="3"/>
        <v>63593.421</v>
      </c>
      <c r="T82" s="100">
        <f t="shared" si="3"/>
        <v>66617.928</v>
      </c>
      <c r="U82" s="100">
        <f t="shared" si="3"/>
        <v>68205.846</v>
      </c>
      <c r="V82" s="100">
        <f t="shared" si="3"/>
        <v>71421.069</v>
      </c>
    </row>
    <row r="83" spans="2:22" ht="12.75">
      <c r="B83" s="99" t="s">
        <v>16</v>
      </c>
      <c r="C83" s="100">
        <f t="shared" si="2"/>
        <v>79623.661</v>
      </c>
      <c r="D83" s="100">
        <f t="shared" si="3"/>
        <v>102365.8675</v>
      </c>
      <c r="E83" s="100">
        <f t="shared" si="3"/>
        <v>127873.317</v>
      </c>
      <c r="F83" s="100">
        <f t="shared" si="3"/>
        <v>154010.051</v>
      </c>
      <c r="G83" s="100">
        <f t="shared" si="3"/>
        <v>181824.877</v>
      </c>
      <c r="H83" s="100">
        <f t="shared" si="3"/>
        <v>211308.773</v>
      </c>
      <c r="I83" s="100">
        <f t="shared" si="3"/>
        <v>244117.276</v>
      </c>
      <c r="J83" s="100">
        <f t="shared" si="3"/>
        <v>274837.186</v>
      </c>
      <c r="K83" s="100">
        <f t="shared" si="3"/>
        <v>300507.0315</v>
      </c>
      <c r="L83" s="100">
        <f t="shared" si="3"/>
        <v>322965.045</v>
      </c>
      <c r="M83" s="100">
        <f t="shared" si="3"/>
        <v>338821.21</v>
      </c>
      <c r="N83" s="100">
        <f t="shared" si="3"/>
        <v>353554.136</v>
      </c>
      <c r="O83" s="100">
        <f t="shared" si="3"/>
        <v>365817.2895</v>
      </c>
      <c r="P83" s="100">
        <f t="shared" si="3"/>
        <v>375076.117</v>
      </c>
      <c r="Q83" s="100">
        <f t="shared" si="3"/>
        <v>385140.158</v>
      </c>
      <c r="R83" s="100">
        <f t="shared" si="3"/>
        <v>392224.6835</v>
      </c>
      <c r="S83" s="100">
        <f t="shared" si="3"/>
        <v>402940.564</v>
      </c>
      <c r="T83" s="100">
        <f t="shared" si="3"/>
        <v>410981.4215</v>
      </c>
      <c r="U83" s="100">
        <f t="shared" si="3"/>
        <v>413951.915</v>
      </c>
      <c r="V83" s="100">
        <f t="shared" si="3"/>
        <v>423898.67</v>
      </c>
    </row>
    <row r="84" spans="2:22" ht="12.75">
      <c r="B84" s="99" t="s">
        <v>17</v>
      </c>
      <c r="C84" s="100">
        <f t="shared" si="2"/>
        <v>0</v>
      </c>
      <c r="D84" s="100">
        <f t="shared" si="3"/>
        <v>0</v>
      </c>
      <c r="E84" s="100">
        <f t="shared" si="3"/>
        <v>0</v>
      </c>
      <c r="F84" s="100">
        <f t="shared" si="3"/>
        <v>0</v>
      </c>
      <c r="G84" s="100">
        <f t="shared" si="3"/>
        <v>0</v>
      </c>
      <c r="H84" s="100">
        <f t="shared" si="3"/>
        <v>0</v>
      </c>
      <c r="I84" s="100">
        <f t="shared" si="3"/>
        <v>0</v>
      </c>
      <c r="J84" s="100">
        <f t="shared" si="3"/>
        <v>558.808</v>
      </c>
      <c r="K84" s="100">
        <f t="shared" si="3"/>
        <v>3118.999</v>
      </c>
      <c r="L84" s="100">
        <f t="shared" si="3"/>
        <v>8236.344</v>
      </c>
      <c r="M84" s="100">
        <f t="shared" si="3"/>
        <v>13979.311</v>
      </c>
      <c r="N84" s="100">
        <f t="shared" si="3"/>
        <v>21529.293</v>
      </c>
      <c r="O84" s="100">
        <f t="shared" si="3"/>
        <v>31029.029</v>
      </c>
      <c r="P84" s="100">
        <f t="shared" si="3"/>
        <v>40386.026</v>
      </c>
      <c r="Q84" s="100">
        <f t="shared" si="3"/>
        <v>51789.961</v>
      </c>
      <c r="R84" s="100">
        <f t="shared" si="3"/>
        <v>62963.084</v>
      </c>
      <c r="S84" s="100">
        <f t="shared" si="3"/>
        <v>78102.529</v>
      </c>
      <c r="T84" s="100">
        <f t="shared" si="3"/>
        <v>94058.927</v>
      </c>
      <c r="U84" s="100">
        <f t="shared" si="3"/>
        <v>110519.467</v>
      </c>
      <c r="V84" s="100">
        <f t="shared" si="3"/>
        <v>130627.444</v>
      </c>
    </row>
    <row r="85" spans="2:22" ht="12.75">
      <c r="B85" s="99" t="s">
        <v>18</v>
      </c>
      <c r="C85" s="100">
        <f t="shared" si="2"/>
        <v>0</v>
      </c>
      <c r="D85" s="100">
        <f t="shared" si="3"/>
        <v>0</v>
      </c>
      <c r="E85" s="100">
        <f t="shared" si="3"/>
        <v>0</v>
      </c>
      <c r="F85" s="100">
        <f t="shared" si="3"/>
        <v>0</v>
      </c>
      <c r="G85" s="100">
        <f t="shared" si="3"/>
        <v>0</v>
      </c>
      <c r="H85" s="100">
        <f t="shared" si="3"/>
        <v>0</v>
      </c>
      <c r="I85" s="100">
        <f t="shared" si="3"/>
        <v>0</v>
      </c>
      <c r="J85" s="100">
        <f t="shared" si="3"/>
        <v>142.08</v>
      </c>
      <c r="K85" s="100">
        <f t="shared" si="3"/>
        <v>1999.776</v>
      </c>
      <c r="L85" s="100">
        <f t="shared" si="3"/>
        <v>4745.472</v>
      </c>
      <c r="M85" s="100">
        <f t="shared" si="3"/>
        <v>8432.448</v>
      </c>
      <c r="N85" s="100">
        <f t="shared" si="3"/>
        <v>13273.824</v>
      </c>
      <c r="O85" s="100">
        <f t="shared" si="3"/>
        <v>19354.848</v>
      </c>
      <c r="P85" s="100">
        <f t="shared" si="3"/>
        <v>25595.712</v>
      </c>
      <c r="Q85" s="100">
        <f t="shared" si="3"/>
        <v>33793.728</v>
      </c>
      <c r="R85" s="100">
        <f t="shared" si="3"/>
        <v>41757.312</v>
      </c>
      <c r="S85" s="100">
        <f t="shared" si="3"/>
        <v>51930.24</v>
      </c>
      <c r="T85" s="100">
        <f t="shared" si="3"/>
        <v>62433.504</v>
      </c>
      <c r="U85" s="100">
        <f t="shared" si="3"/>
        <v>73547.712</v>
      </c>
      <c r="V85" s="100">
        <f t="shared" si="3"/>
        <v>88082.496</v>
      </c>
    </row>
    <row r="86" spans="2:22" ht="12.75">
      <c r="B86" s="99" t="s">
        <v>19</v>
      </c>
      <c r="C86" s="100">
        <f t="shared" si="2"/>
        <v>8982.206</v>
      </c>
      <c r="D86" s="100">
        <f t="shared" si="3"/>
        <v>8833.004</v>
      </c>
      <c r="E86" s="100">
        <f t="shared" si="3"/>
        <v>8865.546</v>
      </c>
      <c r="F86" s="100">
        <f t="shared" si="3"/>
        <v>8844.056</v>
      </c>
      <c r="G86" s="100">
        <f t="shared" si="3"/>
        <v>8906.684</v>
      </c>
      <c r="H86" s="100">
        <f t="shared" si="3"/>
        <v>8780.2</v>
      </c>
      <c r="I86" s="100">
        <f t="shared" si="3"/>
        <v>8710.818</v>
      </c>
      <c r="J86" s="100">
        <f t="shared" si="3"/>
        <v>8543.81</v>
      </c>
      <c r="K86" s="100">
        <f t="shared" si="3"/>
        <v>8586.176</v>
      </c>
      <c r="L86" s="100">
        <f t="shared" si="3"/>
        <v>8498.374</v>
      </c>
      <c r="M86" s="100">
        <f t="shared" si="3"/>
        <v>8437.588</v>
      </c>
      <c r="N86" s="100">
        <f t="shared" si="3"/>
        <v>8473.2</v>
      </c>
      <c r="O86" s="100">
        <f t="shared" si="3"/>
        <v>8390.924</v>
      </c>
      <c r="P86" s="100">
        <f t="shared" si="3"/>
        <v>8426.536</v>
      </c>
      <c r="Q86" s="100">
        <f t="shared" si="3"/>
        <v>8275.492</v>
      </c>
      <c r="R86" s="100">
        <f t="shared" si="3"/>
        <v>8147.78</v>
      </c>
      <c r="S86" s="100">
        <f t="shared" si="3"/>
        <v>8206.11</v>
      </c>
      <c r="T86" s="100">
        <f t="shared" si="3"/>
        <v>8071.644</v>
      </c>
      <c r="U86" s="100">
        <f t="shared" si="3"/>
        <v>7792.274</v>
      </c>
      <c r="V86" s="100">
        <f t="shared" si="3"/>
        <v>7934.108</v>
      </c>
    </row>
    <row r="87" spans="2:22" ht="12.75">
      <c r="B87" s="99" t="s">
        <v>20</v>
      </c>
      <c r="C87" s="100">
        <f t="shared" si="2"/>
        <v>23075.904</v>
      </c>
      <c r="D87" s="100">
        <f t="shared" si="3"/>
        <v>22681.738</v>
      </c>
      <c r="E87" s="100">
        <f t="shared" si="3"/>
        <v>22778.464</v>
      </c>
      <c r="F87" s="100">
        <f t="shared" si="3"/>
        <v>22541.804</v>
      </c>
      <c r="G87" s="100">
        <f t="shared" si="3"/>
        <v>22668.1795</v>
      </c>
      <c r="H87" s="100">
        <f t="shared" si="3"/>
        <v>22636.685</v>
      </c>
      <c r="I87" s="100">
        <f t="shared" si="3"/>
        <v>22362.243</v>
      </c>
      <c r="J87" s="100">
        <f t="shared" si="3"/>
        <v>22292.486</v>
      </c>
      <c r="K87" s="100">
        <f t="shared" si="3"/>
        <v>22097.8465</v>
      </c>
      <c r="L87" s="100">
        <f t="shared" si="3"/>
        <v>21682.987</v>
      </c>
      <c r="M87" s="100">
        <f t="shared" si="3"/>
        <v>21726.667</v>
      </c>
      <c r="N87" s="100">
        <f t="shared" si="3"/>
        <v>21667.1715</v>
      </c>
      <c r="O87" s="100">
        <f t="shared" si="3"/>
        <v>21578.3135</v>
      </c>
      <c r="P87" s="100">
        <f t="shared" si="3"/>
        <v>21349.035</v>
      </c>
      <c r="Q87" s="100">
        <f t="shared" si="3"/>
        <v>21136.4265</v>
      </c>
      <c r="R87" s="100">
        <f t="shared" si="3"/>
        <v>21126.7225</v>
      </c>
      <c r="S87" s="100">
        <f t="shared" si="3"/>
        <v>20834.563</v>
      </c>
      <c r="T87" s="100">
        <f t="shared" si="3"/>
        <v>20696.9535</v>
      </c>
      <c r="U87" s="100">
        <f t="shared" si="3"/>
        <v>19907.735</v>
      </c>
      <c r="V87" s="100">
        <f t="shared" si="3"/>
        <v>19410.177</v>
      </c>
    </row>
    <row r="88" spans="2:22" ht="12.75">
      <c r="B88" s="99" t="s">
        <v>21</v>
      </c>
      <c r="C88" s="100">
        <f t="shared" si="2"/>
        <v>2448.534</v>
      </c>
      <c r="D88" s="100">
        <f t="shared" si="3"/>
        <v>2435.9875</v>
      </c>
      <c r="E88" s="100">
        <f t="shared" si="3"/>
        <v>2459.436</v>
      </c>
      <c r="F88" s="100">
        <f t="shared" si="3"/>
        <v>2466.359</v>
      </c>
      <c r="G88" s="100">
        <f t="shared" si="3"/>
        <v>2508.656</v>
      </c>
      <c r="H88" s="100">
        <f t="shared" si="3"/>
        <v>2526.3775</v>
      </c>
      <c r="I88" s="100">
        <f t="shared" si="3"/>
        <v>2553.5405</v>
      </c>
      <c r="J88" s="100">
        <f t="shared" si="3"/>
        <v>2567.4555</v>
      </c>
      <c r="K88" s="100">
        <f t="shared" si="3"/>
        <v>2636.4095</v>
      </c>
      <c r="L88" s="100">
        <f t="shared" si="3"/>
        <v>2653.5905</v>
      </c>
      <c r="M88" s="100">
        <f t="shared" si="3"/>
        <v>2670.461</v>
      </c>
      <c r="N88" s="100">
        <f t="shared" si="3"/>
        <v>2722.924</v>
      </c>
      <c r="O88" s="100">
        <f t="shared" si="3"/>
        <v>2775.6975</v>
      </c>
      <c r="P88" s="100">
        <f t="shared" si="3"/>
        <v>2831.6565</v>
      </c>
      <c r="Q88" s="100">
        <f t="shared" si="3"/>
        <v>2884.614</v>
      </c>
      <c r="R88" s="100">
        <f t="shared" si="3"/>
        <v>2903.2095</v>
      </c>
      <c r="S88" s="100">
        <f t="shared" si="3"/>
        <v>2918.3205</v>
      </c>
      <c r="T88" s="100">
        <f t="shared" si="3"/>
        <v>2964.102</v>
      </c>
      <c r="U88" s="100">
        <f t="shared" si="3"/>
        <v>2961.779</v>
      </c>
      <c r="V88" s="100">
        <f t="shared" si="3"/>
        <v>3008.6645</v>
      </c>
    </row>
    <row r="89" spans="2:22" ht="12.75">
      <c r="B89" s="99" t="s">
        <v>22</v>
      </c>
      <c r="C89" s="100">
        <f t="shared" si="2"/>
        <v>2129.687</v>
      </c>
      <c r="D89" s="100">
        <f t="shared" si="3"/>
        <v>2053.198</v>
      </c>
      <c r="E89" s="100">
        <f t="shared" si="3"/>
        <v>2016.84</v>
      </c>
      <c r="F89" s="100">
        <f t="shared" si="3"/>
        <v>2008.265</v>
      </c>
      <c r="G89" s="100">
        <f t="shared" si="3"/>
        <v>1998.661</v>
      </c>
      <c r="H89" s="100">
        <f t="shared" si="3"/>
        <v>1946.525</v>
      </c>
      <c r="I89" s="100">
        <f t="shared" si="3"/>
        <v>1926.288</v>
      </c>
      <c r="J89" s="100">
        <f t="shared" si="3"/>
        <v>1890.273</v>
      </c>
      <c r="K89" s="100">
        <f t="shared" si="3"/>
        <v>1867.635</v>
      </c>
      <c r="L89" s="100">
        <f t="shared" si="3"/>
        <v>1827.161</v>
      </c>
      <c r="M89" s="100">
        <f t="shared" si="3"/>
        <v>1808.982</v>
      </c>
      <c r="N89" s="100">
        <f t="shared" si="3"/>
        <v>1808.982</v>
      </c>
      <c r="O89" s="100">
        <f t="shared" si="3"/>
        <v>1770.909</v>
      </c>
      <c r="P89" s="100">
        <f t="shared" si="3"/>
        <v>1737.295</v>
      </c>
      <c r="Q89" s="100">
        <f t="shared" si="3"/>
        <v>1677.613</v>
      </c>
      <c r="R89" s="100">
        <f t="shared" si="3"/>
        <v>1630.279</v>
      </c>
      <c r="S89" s="100">
        <f t="shared" si="3"/>
        <v>1594.264</v>
      </c>
      <c r="T89" s="100">
        <f t="shared" si="3"/>
        <v>1542.471</v>
      </c>
      <c r="U89" s="100">
        <f t="shared" si="3"/>
        <v>1459.122</v>
      </c>
      <c r="V89" s="100">
        <f t="shared" si="3"/>
        <v>1402.87</v>
      </c>
    </row>
    <row r="90" spans="2:22" ht="12.75">
      <c r="B90" s="99" t="s">
        <v>23</v>
      </c>
      <c r="C90" s="100">
        <f t="shared" si="2"/>
        <v>0</v>
      </c>
      <c r="D90" s="100">
        <f t="shared" si="3"/>
        <v>0</v>
      </c>
      <c r="E90" s="100">
        <f t="shared" si="3"/>
        <v>0</v>
      </c>
      <c r="F90" s="100">
        <f t="shared" si="3"/>
        <v>0</v>
      </c>
      <c r="G90" s="100">
        <f t="shared" si="3"/>
        <v>0</v>
      </c>
      <c r="H90" s="100">
        <f t="shared" si="3"/>
        <v>0</v>
      </c>
      <c r="I90" s="100">
        <f t="shared" si="3"/>
        <v>0</v>
      </c>
      <c r="J90" s="100">
        <f t="shared" si="3"/>
        <v>0</v>
      </c>
      <c r="K90" s="100">
        <f t="shared" si="3"/>
        <v>0</v>
      </c>
      <c r="L90" s="100">
        <f t="shared" si="3"/>
        <v>279.7005</v>
      </c>
      <c r="M90" s="100">
        <f t="shared" si="3"/>
        <v>1689.6435</v>
      </c>
      <c r="N90" s="100">
        <f t="shared" si="3"/>
        <v>4705.596</v>
      </c>
      <c r="O90" s="100">
        <f t="shared" si="3"/>
        <v>8601.2835</v>
      </c>
      <c r="P90" s="100">
        <f t="shared" si="3"/>
        <v>13457.973</v>
      </c>
      <c r="Q90" s="100">
        <f t="shared" si="3"/>
        <v>18677.997</v>
      </c>
      <c r="R90" s="100">
        <f t="shared" si="3"/>
        <v>23998.6185</v>
      </c>
      <c r="S90" s="100">
        <f t="shared" si="3"/>
        <v>30602.5485</v>
      </c>
      <c r="T90" s="100">
        <f t="shared" si="3"/>
        <v>37195.038</v>
      </c>
      <c r="U90" s="100">
        <f t="shared" si="3"/>
        <v>43674.7005</v>
      </c>
      <c r="V90" s="100">
        <f t="shared" si="3"/>
        <v>51303.5415</v>
      </c>
    </row>
    <row r="91" spans="2:22" ht="12.75">
      <c r="B91" s="99" t="s">
        <v>24</v>
      </c>
      <c r="C91" s="100">
        <f t="shared" si="2"/>
        <v>284447.638</v>
      </c>
      <c r="D91" s="100">
        <f aca="true" t="shared" si="4" ref="D91:V94">IF(ISERROR(D60),0,D60)</f>
        <v>284784.844</v>
      </c>
      <c r="E91" s="100">
        <f t="shared" si="4"/>
        <v>286146.738</v>
      </c>
      <c r="F91" s="100">
        <f t="shared" si="4"/>
        <v>286180.72</v>
      </c>
      <c r="G91" s="100">
        <f t="shared" si="4"/>
        <v>287200.8335</v>
      </c>
      <c r="H91" s="100">
        <f t="shared" si="4"/>
        <v>287187.11</v>
      </c>
      <c r="I91" s="100">
        <f t="shared" si="4"/>
        <v>286464.339</v>
      </c>
      <c r="J91" s="100">
        <f t="shared" si="4"/>
        <v>286065.0505</v>
      </c>
      <c r="K91" s="100">
        <f t="shared" si="4"/>
        <v>287694.8795</v>
      </c>
      <c r="L91" s="100">
        <f t="shared" si="4"/>
        <v>284799.221</v>
      </c>
      <c r="M91" s="100">
        <f t="shared" si="4"/>
        <v>280987.3555</v>
      </c>
      <c r="N91" s="100">
        <f t="shared" si="4"/>
        <v>277435.3335</v>
      </c>
      <c r="O91" s="100">
        <f t="shared" si="4"/>
        <v>270350.0175</v>
      </c>
      <c r="P91" s="100">
        <f t="shared" si="4"/>
        <v>261009.309</v>
      </c>
      <c r="Q91" s="100">
        <f t="shared" si="4"/>
        <v>251383.516</v>
      </c>
      <c r="R91" s="100">
        <f t="shared" si="4"/>
        <v>240618.36</v>
      </c>
      <c r="S91" s="100">
        <f t="shared" si="4"/>
        <v>229311.579</v>
      </c>
      <c r="T91" s="100">
        <f t="shared" si="4"/>
        <v>216073.8805</v>
      </c>
      <c r="U91" s="100">
        <f t="shared" si="4"/>
        <v>201682.9605</v>
      </c>
      <c r="V91" s="100">
        <f t="shared" si="4"/>
        <v>190207.367</v>
      </c>
    </row>
    <row r="92" spans="2:22" ht="12.75">
      <c r="B92" s="99" t="s">
        <v>25</v>
      </c>
      <c r="C92" s="100">
        <f t="shared" si="2"/>
        <v>168747.7095</v>
      </c>
      <c r="D92" s="100">
        <f t="shared" si="4"/>
        <v>167137.325</v>
      </c>
      <c r="E92" s="100">
        <f t="shared" si="4"/>
        <v>166567.2275</v>
      </c>
      <c r="F92" s="100">
        <f t="shared" si="4"/>
        <v>165426.8125</v>
      </c>
      <c r="G92" s="100">
        <f t="shared" si="4"/>
        <v>164937.6495</v>
      </c>
      <c r="H92" s="100">
        <f t="shared" si="4"/>
        <v>164367.4575</v>
      </c>
      <c r="I92" s="100">
        <f t="shared" si="4"/>
        <v>164731.835</v>
      </c>
      <c r="J92" s="100">
        <f t="shared" si="4"/>
        <v>165086.057</v>
      </c>
      <c r="K92" s="100">
        <f t="shared" si="4"/>
        <v>166143.2565</v>
      </c>
      <c r="L92" s="100">
        <f t="shared" si="4"/>
        <v>164542.8535</v>
      </c>
      <c r="M92" s="100">
        <f t="shared" si="4"/>
        <v>163187.9905</v>
      </c>
      <c r="N92" s="100">
        <f t="shared" si="4"/>
        <v>162613.103</v>
      </c>
      <c r="O92" s="100">
        <f t="shared" si="4"/>
        <v>161466.3555</v>
      </c>
      <c r="P92" s="100">
        <f t="shared" si="4"/>
        <v>159499.7575</v>
      </c>
      <c r="Q92" s="100">
        <f t="shared" si="4"/>
        <v>158081.839</v>
      </c>
      <c r="R92" s="100">
        <f t="shared" si="4"/>
        <v>155664.8955</v>
      </c>
      <c r="S92" s="100">
        <f t="shared" si="4"/>
        <v>154193.4895</v>
      </c>
      <c r="T92" s="100">
        <f t="shared" si="4"/>
        <v>151633.8285</v>
      </c>
      <c r="U92" s="100">
        <f t="shared" si="4"/>
        <v>147619.6285</v>
      </c>
      <c r="V92" s="100">
        <f t="shared" si="4"/>
        <v>145446.6145</v>
      </c>
    </row>
    <row r="93" spans="2:22" ht="12.75">
      <c r="B93" s="99" t="s">
        <v>26</v>
      </c>
      <c r="C93" s="100">
        <f t="shared" si="2"/>
        <v>23812.393</v>
      </c>
      <c r="D93" s="100">
        <f t="shared" si="4"/>
        <v>23560.2235</v>
      </c>
      <c r="E93" s="100">
        <f t="shared" si="4"/>
        <v>23425.1415</v>
      </c>
      <c r="F93" s="100">
        <f t="shared" si="4"/>
        <v>23267.8745</v>
      </c>
      <c r="G93" s="100">
        <f t="shared" si="4"/>
        <v>23213.6445</v>
      </c>
      <c r="H93" s="100">
        <f t="shared" si="4"/>
        <v>22927.7045</v>
      </c>
      <c r="I93" s="100">
        <f t="shared" si="4"/>
        <v>22838.4715</v>
      </c>
      <c r="J93" s="100">
        <f t="shared" si="4"/>
        <v>22763.289</v>
      </c>
      <c r="K93" s="100">
        <f t="shared" si="4"/>
        <v>22827.379</v>
      </c>
      <c r="L93" s="100">
        <f t="shared" si="4"/>
        <v>22561.159</v>
      </c>
      <c r="M93" s="100">
        <f t="shared" si="4"/>
        <v>22201.5155</v>
      </c>
      <c r="N93" s="100">
        <f t="shared" si="4"/>
        <v>22065.694</v>
      </c>
      <c r="O93" s="100">
        <f t="shared" si="4"/>
        <v>21861.3455</v>
      </c>
      <c r="P93" s="100">
        <f t="shared" si="4"/>
        <v>21773.345</v>
      </c>
      <c r="Q93" s="100">
        <f t="shared" si="4"/>
        <v>21667.843</v>
      </c>
      <c r="R93" s="100">
        <f t="shared" si="4"/>
        <v>21392.0095</v>
      </c>
      <c r="S93" s="100">
        <f t="shared" si="4"/>
        <v>21164.7365</v>
      </c>
      <c r="T93" s="100">
        <f t="shared" si="4"/>
        <v>21044.691</v>
      </c>
      <c r="U93" s="100">
        <f t="shared" si="4"/>
        <v>20520.8785</v>
      </c>
      <c r="V93" s="100">
        <f t="shared" si="4"/>
        <v>20469.36</v>
      </c>
    </row>
    <row r="94" spans="2:22" ht="12.75">
      <c r="B94" s="99" t="s">
        <v>71</v>
      </c>
      <c r="C94" s="100">
        <f t="shared" si="2"/>
        <v>0</v>
      </c>
      <c r="D94" s="100">
        <f t="shared" si="4"/>
        <v>0</v>
      </c>
      <c r="E94" s="100">
        <f t="shared" si="4"/>
        <v>0</v>
      </c>
      <c r="F94" s="100">
        <f t="shared" si="4"/>
        <v>0</v>
      </c>
      <c r="G94" s="100">
        <f t="shared" si="4"/>
        <v>0</v>
      </c>
      <c r="H94" s="100">
        <f t="shared" si="4"/>
        <v>0</v>
      </c>
      <c r="I94" s="100">
        <f t="shared" si="4"/>
        <v>0</v>
      </c>
      <c r="J94" s="100">
        <f t="shared" si="4"/>
        <v>0</v>
      </c>
      <c r="K94" s="100">
        <f t="shared" si="4"/>
        <v>0</v>
      </c>
      <c r="L94" s="100">
        <f t="shared" si="4"/>
        <v>0</v>
      </c>
      <c r="M94" s="100">
        <f t="shared" si="4"/>
        <v>0</v>
      </c>
      <c r="N94" s="100">
        <f t="shared" si="4"/>
        <v>0</v>
      </c>
      <c r="O94" s="100">
        <f t="shared" si="4"/>
        <v>0</v>
      </c>
      <c r="P94" s="100">
        <f t="shared" si="4"/>
        <v>0</v>
      </c>
      <c r="Q94" s="100">
        <f t="shared" si="4"/>
        <v>0</v>
      </c>
      <c r="R94" s="100">
        <f t="shared" si="4"/>
        <v>0</v>
      </c>
      <c r="S94" s="100">
        <f t="shared" si="4"/>
        <v>0</v>
      </c>
      <c r="T94" s="100">
        <f t="shared" si="4"/>
        <v>0</v>
      </c>
      <c r="U94" s="100">
        <f t="shared" si="4"/>
        <v>0</v>
      </c>
      <c r="V94" s="100">
        <f t="shared" si="4"/>
        <v>407.236</v>
      </c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22" ht="13.5" thickBot="1">
      <c r="B96" s="9" t="s">
        <v>0</v>
      </c>
      <c r="C96" s="12">
        <v>38504</v>
      </c>
      <c r="D96" s="12">
        <v>38534</v>
      </c>
      <c r="E96" s="12">
        <v>38565</v>
      </c>
      <c r="F96" s="12">
        <v>38596</v>
      </c>
      <c r="G96" s="12">
        <v>38626</v>
      </c>
      <c r="H96" s="12">
        <v>38657</v>
      </c>
      <c r="I96" s="12">
        <v>38687</v>
      </c>
      <c r="J96" s="12">
        <v>38718</v>
      </c>
      <c r="K96" s="12">
        <v>38749</v>
      </c>
      <c r="L96" s="12">
        <v>38777</v>
      </c>
      <c r="M96" s="12">
        <v>38808</v>
      </c>
      <c r="N96" s="12">
        <v>38838</v>
      </c>
      <c r="O96" s="12">
        <v>38869</v>
      </c>
      <c r="P96" s="12">
        <v>38899</v>
      </c>
      <c r="Q96" s="12">
        <v>38930</v>
      </c>
      <c r="R96" s="12">
        <v>38961</v>
      </c>
      <c r="S96" s="12">
        <v>38991</v>
      </c>
      <c r="T96" s="12">
        <v>39022</v>
      </c>
      <c r="U96" s="12">
        <v>39052</v>
      </c>
      <c r="V96" s="12">
        <v>39083</v>
      </c>
    </row>
    <row r="97" spans="2:22" ht="13.5" thickTop="1">
      <c r="B97" s="7" t="s">
        <v>27</v>
      </c>
      <c r="C97" s="8">
        <f>SUM(C66:C68)</f>
        <v>1193207.2875</v>
      </c>
      <c r="D97" s="8">
        <f aca="true" t="shared" si="5" ref="D97:V97">SUM(D66:D68)</f>
        <v>1178050.068</v>
      </c>
      <c r="E97" s="8">
        <f t="shared" si="5"/>
        <v>1169743.7179999999</v>
      </c>
      <c r="F97" s="8">
        <f t="shared" si="5"/>
        <v>1153707.912</v>
      </c>
      <c r="G97" s="8">
        <f t="shared" si="5"/>
        <v>1139075.8429999999</v>
      </c>
      <c r="H97" s="8">
        <f t="shared" si="5"/>
        <v>1122615.216</v>
      </c>
      <c r="I97" s="8">
        <f t="shared" si="5"/>
        <v>1104628.6964999998</v>
      </c>
      <c r="J97" s="8">
        <f t="shared" si="5"/>
        <v>1088085.8245</v>
      </c>
      <c r="K97" s="8">
        <f t="shared" si="5"/>
        <v>1079510.8990000002</v>
      </c>
      <c r="L97" s="8">
        <f t="shared" si="5"/>
        <v>1050124.924</v>
      </c>
      <c r="M97" s="8">
        <f t="shared" si="5"/>
        <v>1023823.0895</v>
      </c>
      <c r="N97" s="8">
        <f t="shared" si="5"/>
        <v>1004408.959</v>
      </c>
      <c r="O97" s="8">
        <f t="shared" si="5"/>
        <v>991931.256</v>
      </c>
      <c r="P97" s="8">
        <f t="shared" si="5"/>
        <v>977744.4464999998</v>
      </c>
      <c r="Q97" s="8">
        <f t="shared" si="5"/>
        <v>966196.9825</v>
      </c>
      <c r="R97" s="8">
        <f t="shared" si="5"/>
        <v>952648.8865</v>
      </c>
      <c r="S97" s="8">
        <f t="shared" si="5"/>
        <v>948676.5335000001</v>
      </c>
      <c r="T97" s="8">
        <f t="shared" si="5"/>
        <v>936017.1955</v>
      </c>
      <c r="U97" s="8">
        <f t="shared" si="5"/>
        <v>920035.0366999999</v>
      </c>
      <c r="V97" s="8">
        <f t="shared" si="5"/>
        <v>916151.0124000001</v>
      </c>
    </row>
    <row r="98" spans="2:22" ht="12.75">
      <c r="B98" s="1" t="s">
        <v>28</v>
      </c>
      <c r="C98" s="4">
        <f>SUM(C69:C71)</f>
        <v>1661992.672</v>
      </c>
      <c r="D98" s="4">
        <f aca="true" t="shared" si="6" ref="D98:V98">SUM(D69:D71)</f>
        <v>1659094.8484999998</v>
      </c>
      <c r="E98" s="4">
        <f t="shared" si="6"/>
        <v>1662634.25</v>
      </c>
      <c r="F98" s="4">
        <f t="shared" si="6"/>
        <v>1656266.4874999998</v>
      </c>
      <c r="G98" s="4">
        <f t="shared" si="6"/>
        <v>1653572.1094999998</v>
      </c>
      <c r="H98" s="4">
        <f t="shared" si="6"/>
        <v>1645880.462</v>
      </c>
      <c r="I98" s="4">
        <f t="shared" si="6"/>
        <v>1638902.7289999998</v>
      </c>
      <c r="J98" s="4">
        <f t="shared" si="6"/>
        <v>1631843.7434999999</v>
      </c>
      <c r="K98" s="4">
        <f t="shared" si="6"/>
        <v>1634760.471</v>
      </c>
      <c r="L98" s="4">
        <f t="shared" si="6"/>
        <v>1611553.7415</v>
      </c>
      <c r="M98" s="4">
        <f t="shared" si="6"/>
        <v>1594775.6445</v>
      </c>
      <c r="N98" s="4">
        <f t="shared" si="6"/>
        <v>1586097.6055</v>
      </c>
      <c r="O98" s="4">
        <f t="shared" si="6"/>
        <v>1578593.8105000001</v>
      </c>
      <c r="P98" s="4">
        <f t="shared" si="6"/>
        <v>1557189.8775</v>
      </c>
      <c r="Q98" s="4">
        <f t="shared" si="6"/>
        <v>1533462.4615</v>
      </c>
      <c r="R98" s="4">
        <f t="shared" si="6"/>
        <v>1497261.6332</v>
      </c>
      <c r="S98" s="4">
        <f t="shared" si="6"/>
        <v>1468816.4134</v>
      </c>
      <c r="T98" s="4">
        <f t="shared" si="6"/>
        <v>1430936.0568</v>
      </c>
      <c r="U98" s="4">
        <f t="shared" si="6"/>
        <v>1384837.0283</v>
      </c>
      <c r="V98" s="4">
        <f t="shared" si="6"/>
        <v>1354913.1892</v>
      </c>
    </row>
    <row r="99" spans="2:22" ht="12.75">
      <c r="B99" s="1" t="s">
        <v>39</v>
      </c>
      <c r="C99" s="4">
        <f>C72</f>
        <v>0</v>
      </c>
      <c r="D99" s="4">
        <f aca="true" t="shared" si="7" ref="D99:V99">D72</f>
        <v>0</v>
      </c>
      <c r="E99" s="4">
        <f t="shared" si="7"/>
        <v>0</v>
      </c>
      <c r="F99" s="4">
        <f t="shared" si="7"/>
        <v>0</v>
      </c>
      <c r="G99" s="4">
        <f t="shared" si="7"/>
        <v>0</v>
      </c>
      <c r="H99" s="4">
        <f t="shared" si="7"/>
        <v>0</v>
      </c>
      <c r="I99" s="4">
        <f t="shared" si="7"/>
        <v>0</v>
      </c>
      <c r="J99" s="4">
        <f t="shared" si="7"/>
        <v>0</v>
      </c>
      <c r="K99" s="4">
        <f t="shared" si="7"/>
        <v>0</v>
      </c>
      <c r="L99" s="4">
        <f t="shared" si="7"/>
        <v>0</v>
      </c>
      <c r="M99" s="4">
        <f t="shared" si="7"/>
        <v>0</v>
      </c>
      <c r="N99" s="4">
        <f t="shared" si="7"/>
        <v>0</v>
      </c>
      <c r="O99" s="4">
        <f t="shared" si="7"/>
        <v>1114.568</v>
      </c>
      <c r="P99" s="4">
        <f t="shared" si="7"/>
        <v>3628.47</v>
      </c>
      <c r="Q99" s="4">
        <f t="shared" si="7"/>
        <v>6742.524</v>
      </c>
      <c r="R99" s="4">
        <f t="shared" si="7"/>
        <v>10579.21</v>
      </c>
      <c r="S99" s="4">
        <f t="shared" si="7"/>
        <v>16790.2723</v>
      </c>
      <c r="T99" s="4">
        <f t="shared" si="7"/>
        <v>23542.8579</v>
      </c>
      <c r="U99" s="4">
        <f t="shared" si="7"/>
        <v>31287.2856</v>
      </c>
      <c r="V99" s="4">
        <f t="shared" si="7"/>
        <v>39636.2536</v>
      </c>
    </row>
    <row r="100" spans="2:22" ht="12.75">
      <c r="B100" s="1" t="s">
        <v>29</v>
      </c>
      <c r="C100" s="4">
        <f>SUM(C73:C75)</f>
        <v>377955.771</v>
      </c>
      <c r="D100" s="4">
        <f aca="true" t="shared" si="8" ref="D100:V100">SUM(D73:D75)</f>
        <v>380101.73699999996</v>
      </c>
      <c r="E100" s="4">
        <f t="shared" si="8"/>
        <v>384411.9695</v>
      </c>
      <c r="F100" s="4">
        <f t="shared" si="8"/>
        <v>386330.4055</v>
      </c>
      <c r="G100" s="4">
        <f t="shared" si="8"/>
        <v>388988.67000000004</v>
      </c>
      <c r="H100" s="4">
        <f t="shared" si="8"/>
        <v>389341.7175</v>
      </c>
      <c r="I100" s="4">
        <f t="shared" si="8"/>
        <v>391359.0865</v>
      </c>
      <c r="J100" s="4">
        <f t="shared" si="8"/>
        <v>392281.4395</v>
      </c>
      <c r="K100" s="4">
        <f t="shared" si="8"/>
        <v>395898.95149999997</v>
      </c>
      <c r="L100" s="4">
        <f t="shared" si="8"/>
        <v>392222.655</v>
      </c>
      <c r="M100" s="4">
        <f t="shared" si="8"/>
        <v>391701.8395</v>
      </c>
      <c r="N100" s="4">
        <f t="shared" si="8"/>
        <v>393167.7855</v>
      </c>
      <c r="O100" s="4">
        <f t="shared" si="8"/>
        <v>393509.3585</v>
      </c>
      <c r="P100" s="4">
        <f t="shared" si="8"/>
        <v>392572.9179</v>
      </c>
      <c r="Q100" s="4">
        <f t="shared" si="8"/>
        <v>391813.0369</v>
      </c>
      <c r="R100" s="4">
        <f t="shared" si="8"/>
        <v>389970.5889</v>
      </c>
      <c r="S100" s="4">
        <f t="shared" si="8"/>
        <v>391175.685</v>
      </c>
      <c r="T100" s="4">
        <f t="shared" si="8"/>
        <v>392455.1673</v>
      </c>
      <c r="U100" s="4">
        <f t="shared" si="8"/>
        <v>389549.2592</v>
      </c>
      <c r="V100" s="4">
        <f t="shared" si="8"/>
        <v>392360.59750000003</v>
      </c>
    </row>
    <row r="101" spans="2:22" ht="12.75">
      <c r="B101" s="1" t="s">
        <v>30</v>
      </c>
      <c r="C101" s="4">
        <f>SUM(C76:C79)</f>
        <v>1781278.1495</v>
      </c>
      <c r="D101" s="4">
        <f aca="true" t="shared" si="9" ref="D101:V101">SUM(D76:D79)</f>
        <v>1798830.1409999998</v>
      </c>
      <c r="E101" s="4">
        <f t="shared" si="9"/>
        <v>1828226.774</v>
      </c>
      <c r="F101" s="4">
        <f t="shared" si="9"/>
        <v>1844489.2520000003</v>
      </c>
      <c r="G101" s="4">
        <f t="shared" si="9"/>
        <v>1862779.0465</v>
      </c>
      <c r="H101" s="4">
        <f t="shared" si="9"/>
        <v>1881153.1220000002</v>
      </c>
      <c r="I101" s="4">
        <f t="shared" si="9"/>
        <v>1905007.5235000001</v>
      </c>
      <c r="J101" s="4">
        <f t="shared" si="9"/>
        <v>1925638.1715</v>
      </c>
      <c r="K101" s="4">
        <f t="shared" si="9"/>
        <v>1958774.428</v>
      </c>
      <c r="L101" s="4">
        <f t="shared" si="9"/>
        <v>1959617.4234999998</v>
      </c>
      <c r="M101" s="4">
        <f t="shared" si="9"/>
        <v>1963518.8395</v>
      </c>
      <c r="N101" s="4">
        <f t="shared" si="9"/>
        <v>1984930.0829999999</v>
      </c>
      <c r="O101" s="4">
        <f t="shared" si="9"/>
        <v>2003500.097</v>
      </c>
      <c r="P101" s="4">
        <f t="shared" si="9"/>
        <v>2018405.1925</v>
      </c>
      <c r="Q101" s="4">
        <f t="shared" si="9"/>
        <v>2035702.68</v>
      </c>
      <c r="R101" s="4">
        <f t="shared" si="9"/>
        <v>2046051.6284999999</v>
      </c>
      <c r="S101" s="4">
        <f t="shared" si="9"/>
        <v>2077363.7889</v>
      </c>
      <c r="T101" s="4">
        <f t="shared" si="9"/>
        <v>2091930.0583</v>
      </c>
      <c r="U101" s="4">
        <f t="shared" si="9"/>
        <v>2075563.2169999997</v>
      </c>
      <c r="V101" s="4">
        <f t="shared" si="9"/>
        <v>2091555.7537</v>
      </c>
    </row>
    <row r="102" spans="2:22" ht="12.75">
      <c r="B102" s="1" t="s">
        <v>31</v>
      </c>
      <c r="C102" s="4">
        <f>SUM(C80:C82)</f>
        <v>266863.008</v>
      </c>
      <c r="D102" s="4">
        <f aca="true" t="shared" si="10" ref="D102:V102">SUM(D80:D82)</f>
        <v>279581.1885</v>
      </c>
      <c r="E102" s="4">
        <f t="shared" si="10"/>
        <v>294492.3525</v>
      </c>
      <c r="F102" s="4">
        <f t="shared" si="10"/>
        <v>306756.0675</v>
      </c>
      <c r="G102" s="4">
        <f t="shared" si="10"/>
        <v>317878.70999999996</v>
      </c>
      <c r="H102" s="4">
        <f t="shared" si="10"/>
        <v>327830.343</v>
      </c>
      <c r="I102" s="4">
        <f t="shared" si="10"/>
        <v>339438.84599999996</v>
      </c>
      <c r="J102" s="4">
        <f t="shared" si="10"/>
        <v>350172.228</v>
      </c>
      <c r="K102" s="4">
        <f t="shared" si="10"/>
        <v>365091.852</v>
      </c>
      <c r="L102" s="4">
        <f t="shared" si="10"/>
        <v>378967.326</v>
      </c>
      <c r="M102" s="4">
        <f t="shared" si="10"/>
        <v>393001.27349999995</v>
      </c>
      <c r="N102" s="4">
        <f t="shared" si="10"/>
        <v>411015.6975</v>
      </c>
      <c r="O102" s="4">
        <f t="shared" si="10"/>
        <v>433135.5015</v>
      </c>
      <c r="P102" s="4">
        <f t="shared" si="10"/>
        <v>455748.07680000004</v>
      </c>
      <c r="Q102" s="4">
        <f t="shared" si="10"/>
        <v>479203.7294</v>
      </c>
      <c r="R102" s="4">
        <f t="shared" si="10"/>
        <v>502601.1345</v>
      </c>
      <c r="S102" s="4">
        <f t="shared" si="10"/>
        <v>534848.6012</v>
      </c>
      <c r="T102" s="4">
        <f t="shared" si="10"/>
        <v>563888.3069</v>
      </c>
      <c r="U102" s="4">
        <f t="shared" si="10"/>
        <v>590129.867</v>
      </c>
      <c r="V102" s="4">
        <f t="shared" si="10"/>
        <v>627639.6377000001</v>
      </c>
    </row>
    <row r="103" spans="2:22" ht="12.75">
      <c r="B103" s="1" t="s">
        <v>32</v>
      </c>
      <c r="C103" s="4">
        <f>C83</f>
        <v>79623.661</v>
      </c>
      <c r="D103" s="4">
        <f aca="true" t="shared" si="11" ref="D103:V103">D83</f>
        <v>102365.8675</v>
      </c>
      <c r="E103" s="4">
        <f t="shared" si="11"/>
        <v>127873.317</v>
      </c>
      <c r="F103" s="4">
        <f t="shared" si="11"/>
        <v>154010.051</v>
      </c>
      <c r="G103" s="4">
        <f t="shared" si="11"/>
        <v>181824.877</v>
      </c>
      <c r="H103" s="4">
        <f t="shared" si="11"/>
        <v>211308.773</v>
      </c>
      <c r="I103" s="4">
        <f t="shared" si="11"/>
        <v>244117.276</v>
      </c>
      <c r="J103" s="4">
        <f t="shared" si="11"/>
        <v>274837.186</v>
      </c>
      <c r="K103" s="4">
        <f t="shared" si="11"/>
        <v>300507.0315</v>
      </c>
      <c r="L103" s="4">
        <f t="shared" si="11"/>
        <v>322965.045</v>
      </c>
      <c r="M103" s="4">
        <f t="shared" si="11"/>
        <v>338821.21</v>
      </c>
      <c r="N103" s="4">
        <f t="shared" si="11"/>
        <v>353554.136</v>
      </c>
      <c r="O103" s="4">
        <f t="shared" si="11"/>
        <v>365817.2895</v>
      </c>
      <c r="P103" s="4">
        <f t="shared" si="11"/>
        <v>375076.117</v>
      </c>
      <c r="Q103" s="4">
        <f t="shared" si="11"/>
        <v>385140.158</v>
      </c>
      <c r="R103" s="4">
        <f t="shared" si="11"/>
        <v>392224.6835</v>
      </c>
      <c r="S103" s="4">
        <f t="shared" si="11"/>
        <v>402940.564</v>
      </c>
      <c r="T103" s="4">
        <f t="shared" si="11"/>
        <v>410981.4215</v>
      </c>
      <c r="U103" s="4">
        <f t="shared" si="11"/>
        <v>413951.915</v>
      </c>
      <c r="V103" s="4">
        <f t="shared" si="11"/>
        <v>423898.67</v>
      </c>
    </row>
    <row r="104" spans="2:22" ht="12.75">
      <c r="B104" s="1" t="s">
        <v>33</v>
      </c>
      <c r="C104" s="4">
        <f>SUM(C84:C85)</f>
        <v>0</v>
      </c>
      <c r="D104" s="4">
        <f aca="true" t="shared" si="12" ref="D104:V104">SUM(D84:D85)</f>
        <v>0</v>
      </c>
      <c r="E104" s="4">
        <f t="shared" si="12"/>
        <v>0</v>
      </c>
      <c r="F104" s="4">
        <f t="shared" si="12"/>
        <v>0</v>
      </c>
      <c r="G104" s="4">
        <f t="shared" si="12"/>
        <v>0</v>
      </c>
      <c r="H104" s="4">
        <f t="shared" si="12"/>
        <v>0</v>
      </c>
      <c r="I104" s="4">
        <f t="shared" si="12"/>
        <v>0</v>
      </c>
      <c r="J104" s="4">
        <f t="shared" si="12"/>
        <v>700.888</v>
      </c>
      <c r="K104" s="4">
        <f t="shared" si="12"/>
        <v>5118.775</v>
      </c>
      <c r="L104" s="4">
        <f t="shared" si="12"/>
        <v>12981.815999999999</v>
      </c>
      <c r="M104" s="4">
        <f t="shared" si="12"/>
        <v>22411.759</v>
      </c>
      <c r="N104" s="4">
        <f t="shared" si="12"/>
        <v>34803.117</v>
      </c>
      <c r="O104" s="4">
        <f t="shared" si="12"/>
        <v>50383.877</v>
      </c>
      <c r="P104" s="4">
        <f t="shared" si="12"/>
        <v>65981.738</v>
      </c>
      <c r="Q104" s="4">
        <f t="shared" si="12"/>
        <v>85583.68900000001</v>
      </c>
      <c r="R104" s="4">
        <f t="shared" si="12"/>
        <v>104720.39600000001</v>
      </c>
      <c r="S104" s="4">
        <f t="shared" si="12"/>
        <v>130032.769</v>
      </c>
      <c r="T104" s="4">
        <f t="shared" si="12"/>
        <v>156492.43099999998</v>
      </c>
      <c r="U104" s="4">
        <f t="shared" si="12"/>
        <v>184067.179</v>
      </c>
      <c r="V104" s="4">
        <f t="shared" si="12"/>
        <v>218709.94</v>
      </c>
    </row>
    <row r="105" spans="2:22" ht="12.75">
      <c r="B105" s="1" t="s">
        <v>34</v>
      </c>
      <c r="C105" s="4">
        <f>C86</f>
        <v>8982.206</v>
      </c>
      <c r="D105" s="4">
        <f aca="true" t="shared" si="13" ref="D105:V105">D86</f>
        <v>8833.004</v>
      </c>
      <c r="E105" s="4">
        <f t="shared" si="13"/>
        <v>8865.546</v>
      </c>
      <c r="F105" s="4">
        <f t="shared" si="13"/>
        <v>8844.056</v>
      </c>
      <c r="G105" s="4">
        <f t="shared" si="13"/>
        <v>8906.684</v>
      </c>
      <c r="H105" s="4">
        <f t="shared" si="13"/>
        <v>8780.2</v>
      </c>
      <c r="I105" s="4">
        <f t="shared" si="13"/>
        <v>8710.818</v>
      </c>
      <c r="J105" s="4">
        <f t="shared" si="13"/>
        <v>8543.81</v>
      </c>
      <c r="K105" s="4">
        <f t="shared" si="13"/>
        <v>8586.176</v>
      </c>
      <c r="L105" s="4">
        <f t="shared" si="13"/>
        <v>8498.374</v>
      </c>
      <c r="M105" s="4">
        <f t="shared" si="13"/>
        <v>8437.588</v>
      </c>
      <c r="N105" s="4">
        <f t="shared" si="13"/>
        <v>8473.2</v>
      </c>
      <c r="O105" s="4">
        <f t="shared" si="13"/>
        <v>8390.924</v>
      </c>
      <c r="P105" s="4">
        <f t="shared" si="13"/>
        <v>8426.536</v>
      </c>
      <c r="Q105" s="4">
        <f t="shared" si="13"/>
        <v>8275.492</v>
      </c>
      <c r="R105" s="4">
        <f t="shared" si="13"/>
        <v>8147.78</v>
      </c>
      <c r="S105" s="4">
        <f t="shared" si="13"/>
        <v>8206.11</v>
      </c>
      <c r="T105" s="4">
        <f t="shared" si="13"/>
        <v>8071.644</v>
      </c>
      <c r="U105" s="4">
        <f t="shared" si="13"/>
        <v>7792.274</v>
      </c>
      <c r="V105" s="4">
        <f t="shared" si="13"/>
        <v>7934.108</v>
      </c>
    </row>
    <row r="106" spans="2:22" ht="12.75">
      <c r="B106" s="85" t="s">
        <v>35</v>
      </c>
      <c r="C106" s="4">
        <f>SUM(C87:C93)</f>
        <v>504661.86549999996</v>
      </c>
      <c r="D106" s="4">
        <f aca="true" t="shared" si="14" ref="D106:V106">SUM(D87:D93)</f>
        <v>502653.316</v>
      </c>
      <c r="E106" s="4">
        <f t="shared" si="14"/>
        <v>503393.84700000007</v>
      </c>
      <c r="F106" s="4">
        <f t="shared" si="14"/>
        <v>501891.83499999996</v>
      </c>
      <c r="G106" s="4">
        <f t="shared" si="14"/>
        <v>502527.624</v>
      </c>
      <c r="H106" s="4">
        <f t="shared" si="14"/>
        <v>501591.8595</v>
      </c>
      <c r="I106" s="4">
        <f t="shared" si="14"/>
        <v>500876.71699999995</v>
      </c>
      <c r="J106" s="4">
        <f t="shared" si="14"/>
        <v>500664.61100000003</v>
      </c>
      <c r="K106" s="4">
        <f t="shared" si="14"/>
        <v>503267.406</v>
      </c>
      <c r="L106" s="4">
        <f t="shared" si="14"/>
        <v>498346.6725</v>
      </c>
      <c r="M106" s="4">
        <f t="shared" si="14"/>
        <v>494272.615</v>
      </c>
      <c r="N106" s="4">
        <f t="shared" si="14"/>
        <v>493018.804</v>
      </c>
      <c r="O106" s="4">
        <f t="shared" si="14"/>
        <v>488403.922</v>
      </c>
      <c r="P106" s="4">
        <f t="shared" si="14"/>
        <v>481658.37100000004</v>
      </c>
      <c r="Q106" s="4">
        <f t="shared" si="14"/>
        <v>475509.84849999996</v>
      </c>
      <c r="R106" s="4">
        <f t="shared" si="14"/>
        <v>467334.09449999995</v>
      </c>
      <c r="S106" s="4">
        <f t="shared" si="14"/>
        <v>460619.50100000005</v>
      </c>
      <c r="T106" s="4">
        <f t="shared" si="14"/>
        <v>451150.9645</v>
      </c>
      <c r="U106" s="4">
        <f t="shared" si="14"/>
        <v>437826.804</v>
      </c>
      <c r="V106" s="4">
        <f t="shared" si="14"/>
        <v>431248.5945</v>
      </c>
    </row>
    <row r="107" spans="2:22" ht="13.5" thickBot="1">
      <c r="B107" s="2" t="s">
        <v>72</v>
      </c>
      <c r="C107" s="86">
        <f>C94</f>
        <v>0</v>
      </c>
      <c r="D107" s="86">
        <f aca="true" t="shared" si="15" ref="D107:V107">D94</f>
        <v>0</v>
      </c>
      <c r="E107" s="86">
        <f t="shared" si="15"/>
        <v>0</v>
      </c>
      <c r="F107" s="86">
        <f t="shared" si="15"/>
        <v>0</v>
      </c>
      <c r="G107" s="86">
        <f t="shared" si="15"/>
        <v>0</v>
      </c>
      <c r="H107" s="86">
        <f t="shared" si="15"/>
        <v>0</v>
      </c>
      <c r="I107" s="86">
        <f t="shared" si="15"/>
        <v>0</v>
      </c>
      <c r="J107" s="86">
        <f t="shared" si="15"/>
        <v>0</v>
      </c>
      <c r="K107" s="86">
        <f t="shared" si="15"/>
        <v>0</v>
      </c>
      <c r="L107" s="86">
        <f t="shared" si="15"/>
        <v>0</v>
      </c>
      <c r="M107" s="86">
        <f t="shared" si="15"/>
        <v>0</v>
      </c>
      <c r="N107" s="86">
        <f t="shared" si="15"/>
        <v>0</v>
      </c>
      <c r="O107" s="86">
        <f t="shared" si="15"/>
        <v>0</v>
      </c>
      <c r="P107" s="86">
        <f t="shared" si="15"/>
        <v>0</v>
      </c>
      <c r="Q107" s="86">
        <f t="shared" si="15"/>
        <v>0</v>
      </c>
      <c r="R107" s="86">
        <f t="shared" si="15"/>
        <v>0</v>
      </c>
      <c r="S107" s="86">
        <f t="shared" si="15"/>
        <v>0</v>
      </c>
      <c r="T107" s="86">
        <f t="shared" si="15"/>
        <v>0</v>
      </c>
      <c r="U107" s="86">
        <f t="shared" si="15"/>
        <v>0</v>
      </c>
      <c r="V107" s="86">
        <f t="shared" si="15"/>
        <v>407.236</v>
      </c>
    </row>
    <row r="108" spans="2:22" ht="13.5" thickTop="1">
      <c r="B108" s="3" t="s">
        <v>36</v>
      </c>
      <c r="C108" s="18">
        <f>SUM(C97:C107)</f>
        <v>5874564.620500001</v>
      </c>
      <c r="D108" s="18">
        <f aca="true" t="shared" si="16" ref="D108:V108">SUM(D97:D107)</f>
        <v>5909510.170499999</v>
      </c>
      <c r="E108" s="18">
        <f t="shared" si="16"/>
        <v>5979641.774</v>
      </c>
      <c r="F108" s="18">
        <f t="shared" si="16"/>
        <v>6012296.0665</v>
      </c>
      <c r="G108" s="18">
        <f t="shared" si="16"/>
        <v>6055553.564</v>
      </c>
      <c r="H108" s="18">
        <f t="shared" si="16"/>
        <v>6088501.693000002</v>
      </c>
      <c r="I108" s="18">
        <f t="shared" si="16"/>
        <v>6133041.6925</v>
      </c>
      <c r="J108" s="18">
        <f t="shared" si="16"/>
        <v>6172767.901999999</v>
      </c>
      <c r="K108" s="18">
        <f t="shared" si="16"/>
        <v>6251515.99</v>
      </c>
      <c r="L108" s="18">
        <f t="shared" si="16"/>
        <v>6235277.9775</v>
      </c>
      <c r="M108" s="18">
        <f t="shared" si="16"/>
        <v>6230763.8585</v>
      </c>
      <c r="N108" s="18">
        <f t="shared" si="16"/>
        <v>6269469.387499999</v>
      </c>
      <c r="O108" s="18">
        <f t="shared" si="16"/>
        <v>6314780.604</v>
      </c>
      <c r="P108" s="18">
        <f t="shared" si="16"/>
        <v>6336431.7432</v>
      </c>
      <c r="Q108" s="18">
        <f t="shared" si="16"/>
        <v>6367630.6018</v>
      </c>
      <c r="R108" s="18">
        <f t="shared" si="16"/>
        <v>6371540.035599999</v>
      </c>
      <c r="S108" s="18">
        <f t="shared" si="16"/>
        <v>6439470.238300001</v>
      </c>
      <c r="T108" s="18">
        <f t="shared" si="16"/>
        <v>6465466.1037</v>
      </c>
      <c r="U108" s="18">
        <f t="shared" si="16"/>
        <v>6435039.865799999</v>
      </c>
      <c r="V108" s="18">
        <f t="shared" si="16"/>
        <v>6504454.9925999995</v>
      </c>
    </row>
    <row r="109" spans="2:22" s="14" customFormat="1" ht="13.5" thickBot="1">
      <c r="B109" s="19" t="s">
        <v>37</v>
      </c>
      <c r="C109" s="20">
        <f>SUM(C97:C99)</f>
        <v>2855199.9595</v>
      </c>
      <c r="D109" s="20">
        <f aca="true" t="shared" si="17" ref="D109:V109">SUM(D97:D99)</f>
        <v>2837144.9165</v>
      </c>
      <c r="E109" s="20">
        <f t="shared" si="17"/>
        <v>2832377.968</v>
      </c>
      <c r="F109" s="20">
        <f t="shared" si="17"/>
        <v>2809974.3995</v>
      </c>
      <c r="G109" s="20">
        <f t="shared" si="17"/>
        <v>2792647.9524999997</v>
      </c>
      <c r="H109" s="20">
        <f t="shared" si="17"/>
        <v>2768495.6780000003</v>
      </c>
      <c r="I109" s="20">
        <f t="shared" si="17"/>
        <v>2743531.4255</v>
      </c>
      <c r="J109" s="20">
        <f t="shared" si="17"/>
        <v>2719929.568</v>
      </c>
      <c r="K109" s="20">
        <f t="shared" si="17"/>
        <v>2714271.37</v>
      </c>
      <c r="L109" s="20">
        <f t="shared" si="17"/>
        <v>2661678.6655</v>
      </c>
      <c r="M109" s="20">
        <f t="shared" si="17"/>
        <v>2618598.734</v>
      </c>
      <c r="N109" s="20">
        <f t="shared" si="17"/>
        <v>2590506.5645000003</v>
      </c>
      <c r="O109" s="20">
        <f t="shared" si="17"/>
        <v>2571639.6345</v>
      </c>
      <c r="P109" s="20">
        <f t="shared" si="17"/>
        <v>2538562.794</v>
      </c>
      <c r="Q109" s="20">
        <f t="shared" si="17"/>
        <v>2506401.9680000003</v>
      </c>
      <c r="R109" s="20">
        <f t="shared" si="17"/>
        <v>2460489.7297</v>
      </c>
      <c r="S109" s="20">
        <f t="shared" si="17"/>
        <v>2434283.2191999997</v>
      </c>
      <c r="T109" s="20">
        <f t="shared" si="17"/>
        <v>2390496.1102</v>
      </c>
      <c r="U109" s="20">
        <f t="shared" si="17"/>
        <v>2336159.3506</v>
      </c>
      <c r="V109" s="20">
        <f t="shared" si="17"/>
        <v>2310700.4552</v>
      </c>
    </row>
    <row r="110" spans="2:22" s="14" customFormat="1" ht="14.25" thickBot="1" thickTop="1">
      <c r="B110" s="59" t="s">
        <v>40</v>
      </c>
      <c r="C110" s="60">
        <f>C97+C98+C100+C101+C102</f>
        <v>5281296.888</v>
      </c>
      <c r="D110" s="60">
        <f aca="true" t="shared" si="18" ref="D110:V110">D97+D98+D100+D101+D102</f>
        <v>5295657.983</v>
      </c>
      <c r="E110" s="60">
        <f t="shared" si="18"/>
        <v>5339509.064</v>
      </c>
      <c r="F110" s="60">
        <f t="shared" si="18"/>
        <v>5347550.1245</v>
      </c>
      <c r="G110" s="60">
        <f t="shared" si="18"/>
        <v>5362294.379</v>
      </c>
      <c r="H110" s="60">
        <f t="shared" si="18"/>
        <v>5366820.860500001</v>
      </c>
      <c r="I110" s="60">
        <f t="shared" si="18"/>
        <v>5379336.8815</v>
      </c>
      <c r="J110" s="60">
        <f t="shared" si="18"/>
        <v>5388021.407</v>
      </c>
      <c r="K110" s="60">
        <f t="shared" si="18"/>
        <v>5434036.6015</v>
      </c>
      <c r="L110" s="60">
        <f t="shared" si="18"/>
        <v>5392486.07</v>
      </c>
      <c r="M110" s="60">
        <f t="shared" si="18"/>
        <v>5366820.6865</v>
      </c>
      <c r="N110" s="60">
        <f t="shared" si="18"/>
        <v>5379620.1305</v>
      </c>
      <c r="O110" s="60">
        <f t="shared" si="18"/>
        <v>5400670.0235</v>
      </c>
      <c r="P110" s="60">
        <f t="shared" si="18"/>
        <v>5401660.5112</v>
      </c>
      <c r="Q110" s="60">
        <f t="shared" si="18"/>
        <v>5406378.8903</v>
      </c>
      <c r="R110" s="60">
        <f t="shared" si="18"/>
        <v>5388533.871599999</v>
      </c>
      <c r="S110" s="60">
        <f t="shared" si="18"/>
        <v>5420881.022000001</v>
      </c>
      <c r="T110" s="60">
        <f t="shared" si="18"/>
        <v>5415226.7848</v>
      </c>
      <c r="U110" s="60">
        <f t="shared" si="18"/>
        <v>5360114.408199999</v>
      </c>
      <c r="V110" s="60">
        <f t="shared" si="18"/>
        <v>5382620.1905000005</v>
      </c>
    </row>
    <row r="111" spans="2:22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2:22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2:3" ht="12.75">
      <c r="B113" s="17"/>
      <c r="C113" s="16"/>
    </row>
    <row r="114" spans="2:22" ht="13.5" thickBot="1">
      <c r="B114" s="11" t="s">
        <v>0</v>
      </c>
      <c r="C114" s="12">
        <v>38504</v>
      </c>
      <c r="D114" s="12">
        <v>38534</v>
      </c>
      <c r="E114" s="12">
        <v>38565</v>
      </c>
      <c r="F114" s="12">
        <v>38596</v>
      </c>
      <c r="G114" s="12">
        <v>38626</v>
      </c>
      <c r="H114" s="12">
        <v>38657</v>
      </c>
      <c r="I114" s="12">
        <v>38687</v>
      </c>
      <c r="J114" s="12">
        <v>38718</v>
      </c>
      <c r="K114" s="12">
        <v>38749</v>
      </c>
      <c r="L114" s="12">
        <v>38777</v>
      </c>
      <c r="M114" s="12">
        <v>38808</v>
      </c>
      <c r="N114" s="12">
        <v>38838</v>
      </c>
      <c r="O114" s="12">
        <v>38869</v>
      </c>
      <c r="P114" s="12">
        <v>38899</v>
      </c>
      <c r="Q114" s="12">
        <v>38930</v>
      </c>
      <c r="R114" s="12">
        <v>38961</v>
      </c>
      <c r="S114" s="12">
        <v>38991</v>
      </c>
      <c r="T114" s="12">
        <v>39022</v>
      </c>
      <c r="U114" s="12">
        <v>39052</v>
      </c>
      <c r="V114" s="12">
        <v>39083</v>
      </c>
    </row>
    <row r="115" spans="2:22" ht="13.5" thickTop="1">
      <c r="B115" s="7" t="s">
        <v>27</v>
      </c>
      <c r="C115" s="10">
        <f aca="true" t="shared" si="19" ref="C115:Q115">C97/C$108</f>
        <v>0.20311416497763246</v>
      </c>
      <c r="D115" s="10">
        <f t="shared" si="19"/>
        <v>0.19934817506208405</v>
      </c>
      <c r="E115" s="10">
        <f t="shared" si="19"/>
        <v>0.19562103587645446</v>
      </c>
      <c r="F115" s="10">
        <f t="shared" si="19"/>
        <v>0.19189140042992262</v>
      </c>
      <c r="G115" s="10">
        <f t="shared" si="19"/>
        <v>0.18810432951526607</v>
      </c>
      <c r="H115" s="10">
        <f t="shared" si="19"/>
        <v>0.18438283712570525</v>
      </c>
      <c r="I115" s="10">
        <f t="shared" si="19"/>
        <v>0.18011106916994105</v>
      </c>
      <c r="J115" s="10">
        <f t="shared" si="19"/>
        <v>0.17627194830174264</v>
      </c>
      <c r="K115" s="10">
        <f t="shared" si="19"/>
        <v>0.17267985888971552</v>
      </c>
      <c r="L115" s="10">
        <f t="shared" si="19"/>
        <v>0.16841669734523076</v>
      </c>
      <c r="M115" s="10">
        <f t="shared" si="19"/>
        <v>0.16431742764625912</v>
      </c>
      <c r="N115" s="10">
        <f t="shared" si="19"/>
        <v>0.16020637424318235</v>
      </c>
      <c r="O115" s="10">
        <f t="shared" si="19"/>
        <v>0.15708087393751677</v>
      </c>
      <c r="P115" s="10">
        <f t="shared" si="19"/>
        <v>0.15430521248008</v>
      </c>
      <c r="Q115" s="10">
        <f t="shared" si="19"/>
        <v>0.15173571504397187</v>
      </c>
      <c r="R115" s="10">
        <f aca="true" t="shared" si="20" ref="R115:V125">R97/R$108</f>
        <v>0.1495162678374806</v>
      </c>
      <c r="S115" s="10">
        <f t="shared" si="20"/>
        <v>0.14732213961601406</v>
      </c>
      <c r="T115" s="10">
        <f t="shared" si="20"/>
        <v>0.14477180461349018</v>
      </c>
      <c r="U115" s="10">
        <f t="shared" si="20"/>
        <v>0.14297270193921666</v>
      </c>
      <c r="V115" s="10">
        <f t="shared" si="20"/>
        <v>0.1408497734925199</v>
      </c>
    </row>
    <row r="116" spans="2:22" ht="12.75">
      <c r="B116" s="1" t="s">
        <v>28</v>
      </c>
      <c r="C116" s="5">
        <f aca="true" t="shared" si="21" ref="C116:Q116">C98/C$108</f>
        <v>0.28291333560282517</v>
      </c>
      <c r="D116" s="5">
        <f t="shared" si="21"/>
        <v>0.2807499776854814</v>
      </c>
      <c r="E116" s="5">
        <f t="shared" si="21"/>
        <v>0.2780491395369665</v>
      </c>
      <c r="F116" s="5">
        <f t="shared" si="21"/>
        <v>0.2754798614673311</v>
      </c>
      <c r="G116" s="5">
        <f t="shared" si="21"/>
        <v>0.273067043668875</v>
      </c>
      <c r="H116" s="5">
        <f t="shared" si="21"/>
        <v>0.2703260251848631</v>
      </c>
      <c r="I116" s="5">
        <f t="shared" si="21"/>
        <v>0.2672251080575872</v>
      </c>
      <c r="J116" s="5">
        <f t="shared" si="21"/>
        <v>0.2643617530105541</v>
      </c>
      <c r="K116" s="5">
        <f t="shared" si="21"/>
        <v>0.2614982467636622</v>
      </c>
      <c r="L116" s="5">
        <f t="shared" si="21"/>
        <v>0.25845740114799876</v>
      </c>
      <c r="M116" s="5">
        <f t="shared" si="21"/>
        <v>0.25595186733395603</v>
      </c>
      <c r="N116" s="5">
        <f t="shared" si="21"/>
        <v>0.25298753490404535</v>
      </c>
      <c r="O116" s="5">
        <f t="shared" si="21"/>
        <v>0.24998395185733996</v>
      </c>
      <c r="P116" s="5">
        <f t="shared" si="21"/>
        <v>0.24575185855526852</v>
      </c>
      <c r="Q116" s="5">
        <f t="shared" si="21"/>
        <v>0.2408215170437998</v>
      </c>
      <c r="R116" s="5">
        <f t="shared" si="20"/>
        <v>0.23499210941691978</v>
      </c>
      <c r="S116" s="5">
        <f t="shared" si="20"/>
        <v>0.2280958462489552</v>
      </c>
      <c r="T116" s="5">
        <f t="shared" si="20"/>
        <v>0.22131986060233405</v>
      </c>
      <c r="U116" s="5">
        <f t="shared" si="20"/>
        <v>0.21520255618926737</v>
      </c>
      <c r="V116" s="5">
        <f t="shared" si="20"/>
        <v>0.20830541386502943</v>
      </c>
    </row>
    <row r="117" spans="2:22" ht="12.75">
      <c r="B117" s="1" t="s">
        <v>39</v>
      </c>
      <c r="C117" s="5">
        <f aca="true" t="shared" si="22" ref="C117:Q117">C99/C$108</f>
        <v>0</v>
      </c>
      <c r="D117" s="5">
        <f t="shared" si="22"/>
        <v>0</v>
      </c>
      <c r="E117" s="5">
        <f t="shared" si="22"/>
        <v>0</v>
      </c>
      <c r="F117" s="5">
        <f t="shared" si="22"/>
        <v>0</v>
      </c>
      <c r="G117" s="5">
        <f t="shared" si="22"/>
        <v>0</v>
      </c>
      <c r="H117" s="5">
        <f t="shared" si="22"/>
        <v>0</v>
      </c>
      <c r="I117" s="5">
        <f t="shared" si="22"/>
        <v>0</v>
      </c>
      <c r="J117" s="5">
        <f t="shared" si="22"/>
        <v>0</v>
      </c>
      <c r="K117" s="5">
        <f t="shared" si="22"/>
        <v>0</v>
      </c>
      <c r="L117" s="5">
        <f t="shared" si="22"/>
        <v>0</v>
      </c>
      <c r="M117" s="5">
        <f t="shared" si="22"/>
        <v>0</v>
      </c>
      <c r="N117" s="5">
        <f t="shared" si="22"/>
        <v>0</v>
      </c>
      <c r="O117" s="5">
        <f t="shared" si="22"/>
        <v>0.00017650146060403017</v>
      </c>
      <c r="P117" s="5">
        <f t="shared" si="22"/>
        <v>0.0005726361692278822</v>
      </c>
      <c r="Q117" s="5">
        <f t="shared" si="22"/>
        <v>0.0010588748659656898</v>
      </c>
      <c r="R117" s="5">
        <f t="shared" si="20"/>
        <v>0.0016603850781585444</v>
      </c>
      <c r="S117" s="5">
        <f t="shared" si="20"/>
        <v>0.002607399627400495</v>
      </c>
      <c r="T117" s="5">
        <f t="shared" si="20"/>
        <v>0.0036413241555047515</v>
      </c>
      <c r="U117" s="5">
        <f t="shared" si="20"/>
        <v>0.004862018923345145</v>
      </c>
      <c r="V117" s="5">
        <f t="shared" si="20"/>
        <v>0.006093708642014349</v>
      </c>
    </row>
    <row r="118" spans="2:22" ht="12.75">
      <c r="B118" s="1" t="s">
        <v>29</v>
      </c>
      <c r="C118" s="5">
        <f aca="true" t="shared" si="23" ref="C118:C125">C100/C$108</f>
        <v>0.06433766507241707</v>
      </c>
      <c r="D118" s="5">
        <f aca="true" t="shared" si="24" ref="D118:Q118">D100/D$108</f>
        <v>0.06432034568574739</v>
      </c>
      <c r="E118" s="5">
        <f t="shared" si="24"/>
        <v>0.06428678908015134</v>
      </c>
      <c r="F118" s="5">
        <f t="shared" si="24"/>
        <v>0.06425671677291477</v>
      </c>
      <c r="G118" s="5">
        <f t="shared" si="24"/>
        <v>0.06423668222712463</v>
      </c>
      <c r="H118" s="5">
        <f t="shared" si="24"/>
        <v>0.06394704923012985</v>
      </c>
      <c r="I118" s="5">
        <f t="shared" si="24"/>
        <v>0.06381158096130128</v>
      </c>
      <c r="J118" s="5">
        <f t="shared" si="24"/>
        <v>0.06355033037495211</v>
      </c>
      <c r="K118" s="5">
        <f t="shared" si="24"/>
        <v>0.06332847138730584</v>
      </c>
      <c r="L118" s="5">
        <f t="shared" si="24"/>
        <v>0.06290379617642315</v>
      </c>
      <c r="M118" s="5">
        <f t="shared" si="24"/>
        <v>0.06286578153104629</v>
      </c>
      <c r="N118" s="5">
        <f t="shared" si="24"/>
        <v>0.06271149298278635</v>
      </c>
      <c r="O118" s="5">
        <f t="shared" si="24"/>
        <v>0.06231560258019694</v>
      </c>
      <c r="P118" s="5">
        <f t="shared" si="24"/>
        <v>0.06195488783119825</v>
      </c>
      <c r="Q118" s="5">
        <f t="shared" si="24"/>
        <v>0.06153199854106524</v>
      </c>
      <c r="R118" s="5">
        <f t="shared" si="20"/>
        <v>0.06120507549526478</v>
      </c>
      <c r="S118" s="5">
        <f t="shared" si="20"/>
        <v>0.060746563074926034</v>
      </c>
      <c r="T118" s="5">
        <f t="shared" si="20"/>
        <v>0.06070021263825189</v>
      </c>
      <c r="U118" s="5">
        <f t="shared" si="20"/>
        <v>0.06053564038823115</v>
      </c>
      <c r="V118" s="5">
        <f t="shared" si="20"/>
        <v>0.06032182526382019</v>
      </c>
    </row>
    <row r="119" spans="2:22" ht="12.75">
      <c r="B119" s="1" t="s">
        <v>30</v>
      </c>
      <c r="C119" s="5">
        <f t="shared" si="23"/>
        <v>0.3032187514431308</v>
      </c>
      <c r="D119" s="5">
        <f aca="true" t="shared" si="25" ref="D119:Q119">D101/D$108</f>
        <v>0.3043958110064141</v>
      </c>
      <c r="E119" s="5">
        <f t="shared" si="25"/>
        <v>0.3057418559669056</v>
      </c>
      <c r="F119" s="5">
        <f t="shared" si="25"/>
        <v>0.3067861648193503</v>
      </c>
      <c r="G119" s="5">
        <f t="shared" si="25"/>
        <v>0.3076149895814876</v>
      </c>
      <c r="H119" s="5">
        <f t="shared" si="25"/>
        <v>0.3089681528975802</v>
      </c>
      <c r="I119" s="5">
        <f t="shared" si="25"/>
        <v>0.31061382247402686</v>
      </c>
      <c r="J119" s="5">
        <f t="shared" si="25"/>
        <v>0.31195700244554575</v>
      </c>
      <c r="K119" s="5">
        <f t="shared" si="25"/>
        <v>0.3133279081639204</v>
      </c>
      <c r="L119" s="5">
        <f t="shared" si="25"/>
        <v>0.3142790795488636</v>
      </c>
      <c r="M119" s="5">
        <f t="shared" si="25"/>
        <v>0.315132924965752</v>
      </c>
      <c r="N119" s="5">
        <f t="shared" si="25"/>
        <v>0.3166025639996795</v>
      </c>
      <c r="O119" s="5">
        <f t="shared" si="25"/>
        <v>0.31727152891597116</v>
      </c>
      <c r="P119" s="5">
        <f t="shared" si="25"/>
        <v>0.31853971987721164</v>
      </c>
      <c r="Q119" s="5">
        <f t="shared" si="25"/>
        <v>0.3196954734504461</v>
      </c>
      <c r="R119" s="5">
        <f t="shared" si="20"/>
        <v>0.32112356150444027</v>
      </c>
      <c r="S119" s="5">
        <f t="shared" si="20"/>
        <v>0.3225985542326875</v>
      </c>
      <c r="T119" s="5">
        <f t="shared" si="20"/>
        <v>0.32355440810413477</v>
      </c>
      <c r="U119" s="5">
        <f t="shared" si="20"/>
        <v>0.32254084827522156</v>
      </c>
      <c r="V119" s="5">
        <f t="shared" si="20"/>
        <v>0.32155741812027683</v>
      </c>
    </row>
    <row r="120" spans="2:22" ht="12.75">
      <c r="B120" s="1" t="s">
        <v>31</v>
      </c>
      <c r="C120" s="5">
        <f t="shared" si="23"/>
        <v>0.045426857178274854</v>
      </c>
      <c r="D120" s="5">
        <f aca="true" t="shared" si="26" ref="D120:Q120">D102/D$108</f>
        <v>0.04731038282930053</v>
      </c>
      <c r="E120" s="5">
        <f t="shared" si="26"/>
        <v>0.049249163015162245</v>
      </c>
      <c r="F120" s="5">
        <f t="shared" si="26"/>
        <v>0.05102145072482685</v>
      </c>
      <c r="G120" s="5">
        <f t="shared" si="26"/>
        <v>0.05249374919078826</v>
      </c>
      <c r="H120" s="5">
        <f t="shared" si="26"/>
        <v>0.0538441737442414</v>
      </c>
      <c r="I120" s="5">
        <f t="shared" si="26"/>
        <v>0.05534592181479777</v>
      </c>
      <c r="J120" s="5">
        <f t="shared" si="26"/>
        <v>0.05672855898024984</v>
      </c>
      <c r="K120" s="5">
        <f t="shared" si="26"/>
        <v>0.05840053078069468</v>
      </c>
      <c r="L120" s="5">
        <f t="shared" si="26"/>
        <v>0.06077793602266067</v>
      </c>
      <c r="M120" s="5">
        <f t="shared" si="26"/>
        <v>0.06307433284666504</v>
      </c>
      <c r="N120" s="5">
        <f t="shared" si="26"/>
        <v>0.06555829083709679</v>
      </c>
      <c r="O120" s="5">
        <f t="shared" si="26"/>
        <v>0.06859074426523022</v>
      </c>
      <c r="P120" s="5">
        <f t="shared" si="26"/>
        <v>0.07192503529910035</v>
      </c>
      <c r="Q120" s="5">
        <f t="shared" si="26"/>
        <v>0.07525620742895149</v>
      </c>
      <c r="R120" s="5">
        <f t="shared" si="20"/>
        <v>0.07888220613725937</v>
      </c>
      <c r="S120" s="5">
        <f t="shared" si="20"/>
        <v>0.08305785746456036</v>
      </c>
      <c r="T120" s="5">
        <f t="shared" si="20"/>
        <v>0.08721541461292372</v>
      </c>
      <c r="U120" s="5">
        <f t="shared" si="20"/>
        <v>0.09170570490733634</v>
      </c>
      <c r="V120" s="5">
        <f t="shared" si="20"/>
        <v>0.09649380899922504</v>
      </c>
    </row>
    <row r="121" spans="2:22" ht="12.75">
      <c r="B121" s="1" t="s">
        <v>32</v>
      </c>
      <c r="C121" s="5">
        <f t="shared" si="23"/>
        <v>0.013553968020394845</v>
      </c>
      <c r="D121" s="5">
        <f aca="true" t="shared" si="27" ref="D121:Q121">D103/D$108</f>
        <v>0.017322225454658773</v>
      </c>
      <c r="E121" s="5">
        <f t="shared" si="27"/>
        <v>0.02138477886016588</v>
      </c>
      <c r="F121" s="5">
        <f t="shared" si="27"/>
        <v>0.025615846142063903</v>
      </c>
      <c r="G121" s="5">
        <f t="shared" si="27"/>
        <v>0.03002613635208198</v>
      </c>
      <c r="H121" s="5">
        <f t="shared" si="27"/>
        <v>0.03470620255274682</v>
      </c>
      <c r="I121" s="5">
        <f t="shared" si="27"/>
        <v>0.03980362245026431</v>
      </c>
      <c r="J121" s="5">
        <f t="shared" si="27"/>
        <v>0.04452414060651005</v>
      </c>
      <c r="K121" s="5">
        <f t="shared" si="27"/>
        <v>0.048069465387386774</v>
      </c>
      <c r="L121" s="5">
        <f t="shared" si="27"/>
        <v>0.05179641487763967</v>
      </c>
      <c r="M121" s="5">
        <f t="shared" si="27"/>
        <v>0.05437875960228866</v>
      </c>
      <c r="N121" s="5">
        <f t="shared" si="27"/>
        <v>0.056392991838338416</v>
      </c>
      <c r="O121" s="5">
        <f t="shared" si="27"/>
        <v>0.05793032449429497</v>
      </c>
      <c r="P121" s="5">
        <f t="shared" si="27"/>
        <v>0.05919358594882938</v>
      </c>
      <c r="Q121" s="5">
        <f t="shared" si="27"/>
        <v>0.060484061040087446</v>
      </c>
      <c r="R121" s="5">
        <f t="shared" si="20"/>
        <v>0.061558850969860496</v>
      </c>
      <c r="S121" s="5">
        <f t="shared" si="20"/>
        <v>0.06257355793081125</v>
      </c>
      <c r="T121" s="5">
        <f t="shared" si="20"/>
        <v>0.06356562928460907</v>
      </c>
      <c r="U121" s="5">
        <f t="shared" si="20"/>
        <v>0.06432779339876518</v>
      </c>
      <c r="V121" s="5">
        <f t="shared" si="20"/>
        <v>0.06517051320706528</v>
      </c>
    </row>
    <row r="122" spans="2:22" ht="12.75">
      <c r="B122" s="1" t="s">
        <v>33</v>
      </c>
      <c r="C122" s="5">
        <f t="shared" si="23"/>
        <v>0</v>
      </c>
      <c r="D122" s="5">
        <f aca="true" t="shared" si="28" ref="D122:Q122">D104/D$108</f>
        <v>0</v>
      </c>
      <c r="E122" s="5">
        <f t="shared" si="28"/>
        <v>0</v>
      </c>
      <c r="F122" s="5">
        <f t="shared" si="28"/>
        <v>0</v>
      </c>
      <c r="G122" s="5">
        <f t="shared" si="28"/>
        <v>0</v>
      </c>
      <c r="H122" s="5">
        <f t="shared" si="28"/>
        <v>0</v>
      </c>
      <c r="I122" s="5">
        <f t="shared" si="28"/>
        <v>0</v>
      </c>
      <c r="J122" s="5">
        <f t="shared" si="28"/>
        <v>0.0001135451731099285</v>
      </c>
      <c r="K122" s="5">
        <f t="shared" si="28"/>
        <v>0.0008188053918742356</v>
      </c>
      <c r="L122" s="5">
        <f t="shared" si="28"/>
        <v>0.0020819947477634325</v>
      </c>
      <c r="M122" s="5">
        <f t="shared" si="28"/>
        <v>0.003596952076658451</v>
      </c>
      <c r="N122" s="5">
        <f t="shared" si="28"/>
        <v>0.0055512061466302205</v>
      </c>
      <c r="O122" s="5">
        <f t="shared" si="28"/>
        <v>0.007978721694319056</v>
      </c>
      <c r="P122" s="5">
        <f t="shared" si="28"/>
        <v>0.010413074846234854</v>
      </c>
      <c r="Q122" s="5">
        <f t="shared" si="28"/>
        <v>0.01344042931381843</v>
      </c>
      <c r="R122" s="5">
        <f t="shared" si="20"/>
        <v>0.016435649060492583</v>
      </c>
      <c r="S122" s="5">
        <f t="shared" si="20"/>
        <v>0.020193084863814544</v>
      </c>
      <c r="T122" s="5">
        <f t="shared" si="20"/>
        <v>0.024204354100695675</v>
      </c>
      <c r="U122" s="5">
        <f t="shared" si="20"/>
        <v>0.028603891015229463</v>
      </c>
      <c r="V122" s="5">
        <f t="shared" si="20"/>
        <v>0.03362463730609595</v>
      </c>
    </row>
    <row r="123" spans="2:22" ht="12.75">
      <c r="B123" s="1" t="s">
        <v>34</v>
      </c>
      <c r="C123" s="5">
        <f t="shared" si="23"/>
        <v>0.0015289994374486084</v>
      </c>
      <c r="D123" s="5">
        <f aca="true" t="shared" si="29" ref="D123:Q123">D105/D$108</f>
        <v>0.0014947100089773848</v>
      </c>
      <c r="E123" s="5">
        <f t="shared" si="29"/>
        <v>0.0014826215909033483</v>
      </c>
      <c r="F123" s="5">
        <f t="shared" si="29"/>
        <v>0.0014709947584381823</v>
      </c>
      <c r="G123" s="5">
        <f t="shared" si="29"/>
        <v>0.0014708290341860478</v>
      </c>
      <c r="H123" s="5">
        <f t="shared" si="29"/>
        <v>0.001442095353294336</v>
      </c>
      <c r="I123" s="5">
        <f t="shared" si="29"/>
        <v>0.0014203096011319019</v>
      </c>
      <c r="J123" s="5">
        <f t="shared" si="29"/>
        <v>0.0013841132755423665</v>
      </c>
      <c r="K123" s="5">
        <f t="shared" si="29"/>
        <v>0.0013734550169486168</v>
      </c>
      <c r="L123" s="5">
        <f t="shared" si="29"/>
        <v>0.0013629503016010483</v>
      </c>
      <c r="M123" s="5">
        <f t="shared" si="29"/>
        <v>0.0013541819577208745</v>
      </c>
      <c r="N123" s="5">
        <f t="shared" si="29"/>
        <v>0.0013515019336235656</v>
      </c>
      <c r="O123" s="5">
        <f t="shared" si="29"/>
        <v>0.0013287752221644723</v>
      </c>
      <c r="P123" s="5">
        <f t="shared" si="29"/>
        <v>0.0013298550890322482</v>
      </c>
      <c r="Q123" s="5">
        <f t="shared" si="29"/>
        <v>0.0012996187306563742</v>
      </c>
      <c r="R123" s="5">
        <f t="shared" si="20"/>
        <v>0.0012787771801598252</v>
      </c>
      <c r="S123" s="5">
        <f t="shared" si="20"/>
        <v>0.0012743455123361803</v>
      </c>
      <c r="T123" s="5">
        <f t="shared" si="20"/>
        <v>0.001248424146154108</v>
      </c>
      <c r="U123" s="5">
        <f t="shared" si="20"/>
        <v>0.0012109130887305345</v>
      </c>
      <c r="V123" s="5">
        <f t="shared" si="20"/>
        <v>0.001219795971995577</v>
      </c>
    </row>
    <row r="124" spans="2:22" ht="12.75">
      <c r="B124" s="1" t="s">
        <v>35</v>
      </c>
      <c r="C124" s="5">
        <f t="shared" si="23"/>
        <v>0.08590625826787598</v>
      </c>
      <c r="D124" s="5">
        <f aca="true" t="shared" si="30" ref="D124:Q125">D106/D$108</f>
        <v>0.08505837226733648</v>
      </c>
      <c r="E124" s="5">
        <f t="shared" si="30"/>
        <v>0.08418461607329056</v>
      </c>
      <c r="F124" s="5">
        <f t="shared" si="30"/>
        <v>0.08347756488515234</v>
      </c>
      <c r="G124" s="5">
        <f t="shared" si="30"/>
        <v>0.08298624043019033</v>
      </c>
      <c r="H124" s="5">
        <f t="shared" si="30"/>
        <v>0.08238346391143886</v>
      </c>
      <c r="I124" s="5">
        <f t="shared" si="30"/>
        <v>0.08166856547094963</v>
      </c>
      <c r="J124" s="5">
        <f t="shared" si="30"/>
        <v>0.0811086078317934</v>
      </c>
      <c r="K124" s="5">
        <f t="shared" si="30"/>
        <v>0.08050325821849173</v>
      </c>
      <c r="L124" s="5">
        <f t="shared" si="30"/>
        <v>0.07992372983181888</v>
      </c>
      <c r="M124" s="5">
        <f t="shared" si="30"/>
        <v>0.07932777203965352</v>
      </c>
      <c r="N124" s="5">
        <f t="shared" si="30"/>
        <v>0.07863804311461758</v>
      </c>
      <c r="O124" s="5">
        <f t="shared" si="30"/>
        <v>0.07734297557236242</v>
      </c>
      <c r="P124" s="5">
        <f t="shared" si="30"/>
        <v>0.07601413390381678</v>
      </c>
      <c r="Q124" s="5">
        <f t="shared" si="30"/>
        <v>0.07467610454123752</v>
      </c>
      <c r="R124" s="5">
        <f t="shared" si="20"/>
        <v>0.07334711731996388</v>
      </c>
      <c r="S124" s="5">
        <f t="shared" si="20"/>
        <v>0.07153065142849423</v>
      </c>
      <c r="T124" s="5">
        <f t="shared" si="20"/>
        <v>0.06977856774190175</v>
      </c>
      <c r="U124" s="5">
        <f t="shared" si="20"/>
        <v>0.06803793187465665</v>
      </c>
      <c r="V124" s="5">
        <f t="shared" si="20"/>
        <v>0.06630049635067407</v>
      </c>
    </row>
    <row r="125" spans="2:22" ht="13.5" thickBot="1">
      <c r="B125" s="87" t="s">
        <v>72</v>
      </c>
      <c r="C125" s="88">
        <f t="shared" si="23"/>
        <v>0</v>
      </c>
      <c r="D125" s="88">
        <f t="shared" si="30"/>
        <v>0</v>
      </c>
      <c r="E125" s="88">
        <f t="shared" si="30"/>
        <v>0</v>
      </c>
      <c r="F125" s="88">
        <f t="shared" si="30"/>
        <v>0</v>
      </c>
      <c r="G125" s="88">
        <f t="shared" si="30"/>
        <v>0</v>
      </c>
      <c r="H125" s="88">
        <f t="shared" si="30"/>
        <v>0</v>
      </c>
      <c r="I125" s="88">
        <f t="shared" si="30"/>
        <v>0</v>
      </c>
      <c r="J125" s="88">
        <f t="shared" si="30"/>
        <v>0</v>
      </c>
      <c r="K125" s="88">
        <f t="shared" si="30"/>
        <v>0</v>
      </c>
      <c r="L125" s="88">
        <f t="shared" si="30"/>
        <v>0</v>
      </c>
      <c r="M125" s="88">
        <f t="shared" si="30"/>
        <v>0</v>
      </c>
      <c r="N125" s="88">
        <f t="shared" si="30"/>
        <v>0</v>
      </c>
      <c r="O125" s="88">
        <f t="shared" si="30"/>
        <v>0</v>
      </c>
      <c r="P125" s="88">
        <f t="shared" si="30"/>
        <v>0</v>
      </c>
      <c r="Q125" s="88">
        <f t="shared" si="30"/>
        <v>0</v>
      </c>
      <c r="R125" s="88">
        <f t="shared" si="20"/>
        <v>0</v>
      </c>
      <c r="S125" s="88">
        <f t="shared" si="20"/>
        <v>0</v>
      </c>
      <c r="T125" s="88">
        <f t="shared" si="20"/>
        <v>0</v>
      </c>
      <c r="U125" s="88">
        <f t="shared" si="20"/>
        <v>0</v>
      </c>
      <c r="V125" s="88">
        <f t="shared" si="20"/>
        <v>6.260878128349032E-05</v>
      </c>
    </row>
    <row r="126" spans="2:22" ht="13.5" thickTop="1">
      <c r="B126" s="3" t="s">
        <v>36</v>
      </c>
      <c r="C126" s="6">
        <f>C108/C$108</f>
        <v>1</v>
      </c>
      <c r="D126" s="6">
        <f aca="true" t="shared" si="31" ref="D126:P126">D108/D$108</f>
        <v>1</v>
      </c>
      <c r="E126" s="6">
        <f t="shared" si="31"/>
        <v>1</v>
      </c>
      <c r="F126" s="6">
        <f t="shared" si="31"/>
        <v>1</v>
      </c>
      <c r="G126" s="6">
        <f t="shared" si="31"/>
        <v>1</v>
      </c>
      <c r="H126" s="6">
        <f t="shared" si="31"/>
        <v>1</v>
      </c>
      <c r="I126" s="6">
        <f t="shared" si="31"/>
        <v>1</v>
      </c>
      <c r="J126" s="6">
        <f t="shared" si="31"/>
        <v>1</v>
      </c>
      <c r="K126" s="6">
        <f t="shared" si="31"/>
        <v>1</v>
      </c>
      <c r="L126" s="6">
        <f t="shared" si="31"/>
        <v>1</v>
      </c>
      <c r="M126" s="6">
        <f t="shared" si="31"/>
        <v>1</v>
      </c>
      <c r="N126" s="6">
        <f t="shared" si="31"/>
        <v>1</v>
      </c>
      <c r="O126" s="6">
        <f t="shared" si="31"/>
        <v>1</v>
      </c>
      <c r="P126" s="6">
        <f t="shared" si="31"/>
        <v>1</v>
      </c>
      <c r="Q126" s="6">
        <f aca="true" t="shared" si="32" ref="Q126:V127">Q108/Q$108</f>
        <v>1</v>
      </c>
      <c r="R126" s="6">
        <f t="shared" si="32"/>
        <v>1</v>
      </c>
      <c r="S126" s="6">
        <f t="shared" si="32"/>
        <v>1</v>
      </c>
      <c r="T126" s="6">
        <f t="shared" si="32"/>
        <v>1</v>
      </c>
      <c r="U126" s="6">
        <f t="shared" si="32"/>
        <v>1</v>
      </c>
      <c r="V126" s="6">
        <f t="shared" si="32"/>
        <v>1</v>
      </c>
    </row>
    <row r="127" spans="2:22" ht="12.75">
      <c r="B127" s="62" t="s">
        <v>37</v>
      </c>
      <c r="C127" s="63">
        <f>C109/C$108</f>
        <v>0.48602750058045757</v>
      </c>
      <c r="D127" s="63">
        <f aca="true" t="shared" si="33" ref="D127:P127">D109/D$108</f>
        <v>0.4800981527475654</v>
      </c>
      <c r="E127" s="63">
        <f t="shared" si="33"/>
        <v>0.473670175413421</v>
      </c>
      <c r="F127" s="63">
        <f t="shared" si="33"/>
        <v>0.46737126189725375</v>
      </c>
      <c r="G127" s="63">
        <f t="shared" si="33"/>
        <v>0.4611713731841411</v>
      </c>
      <c r="H127" s="63">
        <f t="shared" si="33"/>
        <v>0.4547088623105684</v>
      </c>
      <c r="I127" s="63">
        <f t="shared" si="33"/>
        <v>0.4473361772275283</v>
      </c>
      <c r="J127" s="63">
        <f t="shared" si="33"/>
        <v>0.44063370131229673</v>
      </c>
      <c r="K127" s="63">
        <f t="shared" si="33"/>
        <v>0.43417810565337767</v>
      </c>
      <c r="L127" s="63">
        <f t="shared" si="33"/>
        <v>0.42687409849322955</v>
      </c>
      <c r="M127" s="63">
        <f t="shared" si="33"/>
        <v>0.42026929498021515</v>
      </c>
      <c r="N127" s="63">
        <f t="shared" si="33"/>
        <v>0.41319390914722776</v>
      </c>
      <c r="O127" s="63">
        <f t="shared" si="33"/>
        <v>0.40724132725546075</v>
      </c>
      <c r="P127" s="63">
        <f t="shared" si="33"/>
        <v>0.40062970720457647</v>
      </c>
      <c r="Q127" s="63">
        <f t="shared" si="32"/>
        <v>0.39361610695373744</v>
      </c>
      <c r="R127" s="63">
        <f t="shared" si="32"/>
        <v>0.3861687623325589</v>
      </c>
      <c r="S127" s="63">
        <f t="shared" si="32"/>
        <v>0.3780253854923697</v>
      </c>
      <c r="T127" s="63">
        <f t="shared" si="32"/>
        <v>0.369732989371329</v>
      </c>
      <c r="U127" s="63">
        <f t="shared" si="32"/>
        <v>0.3630372770518292</v>
      </c>
      <c r="V127" s="63">
        <f t="shared" si="32"/>
        <v>0.3552488959995637</v>
      </c>
    </row>
    <row r="128" spans="2:22" ht="13.5" thickBot="1">
      <c r="B128" s="59" t="s">
        <v>40</v>
      </c>
      <c r="C128" s="61">
        <f>C110/C108</f>
        <v>0.8990107742742804</v>
      </c>
      <c r="D128" s="61">
        <f aca="true" t="shared" si="34" ref="D128:Q128">D110/D108</f>
        <v>0.8961246922690275</v>
      </c>
      <c r="E128" s="61">
        <f t="shared" si="34"/>
        <v>0.8929479834756402</v>
      </c>
      <c r="F128" s="61">
        <f t="shared" si="34"/>
        <v>0.8894355942143456</v>
      </c>
      <c r="G128" s="61">
        <f t="shared" si="34"/>
        <v>0.8855167941835416</v>
      </c>
      <c r="H128" s="61">
        <f t="shared" si="34"/>
        <v>0.88146823818252</v>
      </c>
      <c r="I128" s="61">
        <f t="shared" si="34"/>
        <v>0.8771075024776542</v>
      </c>
      <c r="J128" s="61">
        <f t="shared" si="34"/>
        <v>0.8728695931130444</v>
      </c>
      <c r="K128" s="61">
        <f t="shared" si="34"/>
        <v>0.8692350159852986</v>
      </c>
      <c r="L128" s="61">
        <f t="shared" si="34"/>
        <v>0.864834910241177</v>
      </c>
      <c r="M128" s="61">
        <f t="shared" si="34"/>
        <v>0.8613423343236785</v>
      </c>
      <c r="N128" s="61">
        <f t="shared" si="34"/>
        <v>0.8580662569667903</v>
      </c>
      <c r="O128" s="61">
        <f t="shared" si="34"/>
        <v>0.855242701556255</v>
      </c>
      <c r="P128" s="61">
        <f t="shared" si="34"/>
        <v>0.8524767140428587</v>
      </c>
      <c r="Q128" s="61">
        <f t="shared" si="34"/>
        <v>0.8490409115082345</v>
      </c>
      <c r="R128" s="61">
        <f>R110/R108</f>
        <v>0.8457192203913647</v>
      </c>
      <c r="S128" s="61">
        <f>S110/S108</f>
        <v>0.8418209606371433</v>
      </c>
      <c r="T128" s="61">
        <f>T110/T108</f>
        <v>0.8375617005711345</v>
      </c>
      <c r="U128" s="61">
        <f>U110/U108</f>
        <v>0.8329574516992729</v>
      </c>
      <c r="V128" s="61">
        <f>V110/V108</f>
        <v>0.8275282397408714</v>
      </c>
    </row>
    <row r="129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8"/>
  <sheetViews>
    <sheetView workbookViewId="0" topLeftCell="AA112">
      <selection activeCell="AI127" sqref="AI127"/>
    </sheetView>
  </sheetViews>
  <sheetFormatPr defaultColWidth="11.421875" defaultRowHeight="12.75"/>
  <cols>
    <col min="2" max="2" width="26.8515625" style="0" bestFit="1" customWidth="1"/>
    <col min="3" max="16" width="11.28125" style="0" bestFit="1" customWidth="1"/>
  </cols>
  <sheetData>
    <row r="1" ht="18">
      <c r="B1" s="21" t="s">
        <v>79</v>
      </c>
    </row>
    <row r="3" spans="1:33" s="70" customFormat="1" ht="39" thickBot="1">
      <c r="A3" s="72" t="s">
        <v>76</v>
      </c>
      <c r="B3" s="78" t="s">
        <v>0</v>
      </c>
      <c r="C3" s="78" t="s">
        <v>101</v>
      </c>
      <c r="D3" s="78" t="s">
        <v>102</v>
      </c>
      <c r="E3" s="78" t="s">
        <v>103</v>
      </c>
      <c r="F3" s="78" t="s">
        <v>104</v>
      </c>
      <c r="G3" s="78" t="s">
        <v>105</v>
      </c>
      <c r="H3" s="78" t="s">
        <v>106</v>
      </c>
      <c r="I3" s="78" t="s">
        <v>107</v>
      </c>
      <c r="J3" s="78" t="s">
        <v>108</v>
      </c>
      <c r="K3" s="78" t="s">
        <v>109</v>
      </c>
      <c r="L3" s="78" t="s">
        <v>110</v>
      </c>
      <c r="M3" s="78" t="s">
        <v>111</v>
      </c>
      <c r="N3" s="78" t="s">
        <v>81</v>
      </c>
      <c r="O3" s="78" t="s">
        <v>82</v>
      </c>
      <c r="P3" s="78" t="s">
        <v>83</v>
      </c>
      <c r="Q3" s="78" t="s">
        <v>84</v>
      </c>
      <c r="R3" s="78" t="s">
        <v>85</v>
      </c>
      <c r="S3" s="78" t="s">
        <v>86</v>
      </c>
      <c r="T3" s="78" t="s">
        <v>87</v>
      </c>
      <c r="U3" s="78" t="s">
        <v>88</v>
      </c>
      <c r="V3" s="78" t="s">
        <v>112</v>
      </c>
      <c r="W3" s="78" t="s">
        <v>90</v>
      </c>
      <c r="X3" s="78" t="s">
        <v>91</v>
      </c>
      <c r="Y3" s="78" t="s">
        <v>92</v>
      </c>
      <c r="Z3" s="78" t="s">
        <v>93</v>
      </c>
      <c r="AA3" s="78" t="s">
        <v>94</v>
      </c>
      <c r="AB3" s="78" t="s">
        <v>95</v>
      </c>
      <c r="AC3" s="78" t="s">
        <v>96</v>
      </c>
      <c r="AD3" s="78" t="s">
        <v>97</v>
      </c>
      <c r="AE3" s="78" t="s">
        <v>98</v>
      </c>
      <c r="AF3" s="78" t="s">
        <v>99</v>
      </c>
      <c r="AG3" s="78" t="s">
        <v>100</v>
      </c>
    </row>
    <row r="4" spans="1:33" ht="26.25" thickTop="1">
      <c r="A4" s="101">
        <v>1</v>
      </c>
      <c r="B4" s="79" t="s">
        <v>43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2</v>
      </c>
      <c r="U4" s="101">
        <v>12</v>
      </c>
      <c r="V4" s="101">
        <v>15</v>
      </c>
      <c r="W4" s="101">
        <v>18</v>
      </c>
      <c r="X4" s="101">
        <v>34</v>
      </c>
      <c r="Y4" s="101">
        <v>35</v>
      </c>
      <c r="Z4" s="101">
        <v>41</v>
      </c>
      <c r="AA4" s="101">
        <v>42</v>
      </c>
      <c r="AB4" s="101">
        <v>49</v>
      </c>
      <c r="AC4" s="101">
        <v>48</v>
      </c>
      <c r="AD4" s="101">
        <v>58</v>
      </c>
      <c r="AE4" s="101">
        <v>63</v>
      </c>
      <c r="AF4" s="101">
        <v>48</v>
      </c>
      <c r="AG4" s="101">
        <v>49</v>
      </c>
    </row>
    <row r="5" spans="1:33" ht="25.5">
      <c r="A5" s="101">
        <v>2</v>
      </c>
      <c r="B5" s="79" t="s">
        <v>44</v>
      </c>
      <c r="C5" s="101">
        <v>3717</v>
      </c>
      <c r="D5" s="101">
        <v>3575</v>
      </c>
      <c r="E5" s="101">
        <v>3685</v>
      </c>
      <c r="F5" s="101">
        <v>3648</v>
      </c>
      <c r="G5" s="101">
        <v>3746</v>
      </c>
      <c r="H5" s="101">
        <v>3737</v>
      </c>
      <c r="I5" s="101">
        <v>3618</v>
      </c>
      <c r="J5" s="101">
        <v>3255</v>
      </c>
      <c r="K5" s="101">
        <v>3883</v>
      </c>
      <c r="L5" s="101">
        <v>3559</v>
      </c>
      <c r="M5" s="101">
        <v>3736</v>
      </c>
      <c r="N5" s="101">
        <v>3712</v>
      </c>
      <c r="O5" s="101">
        <v>3594</v>
      </c>
      <c r="P5" s="101">
        <v>3627</v>
      </c>
      <c r="Q5" s="101">
        <v>3592</v>
      </c>
      <c r="R5" s="101">
        <v>3611</v>
      </c>
      <c r="S5" s="101">
        <v>3685</v>
      </c>
      <c r="T5" s="101">
        <v>3732</v>
      </c>
      <c r="U5" s="101">
        <v>3659</v>
      </c>
      <c r="V5" s="101">
        <v>3553</v>
      </c>
      <c r="W5" s="101">
        <v>3772</v>
      </c>
      <c r="X5" s="101">
        <v>3362</v>
      </c>
      <c r="Y5" s="101">
        <v>3697</v>
      </c>
      <c r="Z5" s="101">
        <v>3616</v>
      </c>
      <c r="AA5" s="101">
        <v>3386</v>
      </c>
      <c r="AB5" s="101">
        <v>3488</v>
      </c>
      <c r="AC5" s="101">
        <v>3387</v>
      </c>
      <c r="AD5" s="101">
        <v>3581</v>
      </c>
      <c r="AE5" s="101">
        <v>3430</v>
      </c>
      <c r="AF5" s="101">
        <v>3343</v>
      </c>
      <c r="AG5" s="101">
        <v>3588</v>
      </c>
    </row>
    <row r="6" spans="1:33" ht="25.5">
      <c r="A6" s="101">
        <v>3</v>
      </c>
      <c r="B6" s="79" t="s">
        <v>45</v>
      </c>
      <c r="C6" s="101">
        <v>585</v>
      </c>
      <c r="D6" s="101">
        <v>570</v>
      </c>
      <c r="E6" s="101">
        <v>593</v>
      </c>
      <c r="F6" s="101">
        <v>592</v>
      </c>
      <c r="G6" s="101">
        <v>611</v>
      </c>
      <c r="H6" s="101">
        <v>656</v>
      </c>
      <c r="I6" s="101">
        <v>641</v>
      </c>
      <c r="J6" s="101">
        <v>602</v>
      </c>
      <c r="K6" s="101">
        <v>699</v>
      </c>
      <c r="L6" s="101">
        <v>655</v>
      </c>
      <c r="M6" s="101">
        <v>719</v>
      </c>
      <c r="N6" s="101">
        <v>682</v>
      </c>
      <c r="O6" s="101">
        <v>681</v>
      </c>
      <c r="P6" s="101">
        <v>706</v>
      </c>
      <c r="Q6" s="101">
        <v>696</v>
      </c>
      <c r="R6" s="101">
        <v>693</v>
      </c>
      <c r="S6" s="101">
        <v>708</v>
      </c>
      <c r="T6" s="101">
        <v>721</v>
      </c>
      <c r="U6" s="101">
        <v>682</v>
      </c>
      <c r="V6" s="101">
        <v>701</v>
      </c>
      <c r="W6" s="101">
        <v>722</v>
      </c>
      <c r="X6" s="101">
        <v>653</v>
      </c>
      <c r="Y6" s="101">
        <v>687</v>
      </c>
      <c r="Z6" s="101">
        <v>680</v>
      </c>
      <c r="AA6" s="101">
        <v>635</v>
      </c>
      <c r="AB6" s="101">
        <v>650</v>
      </c>
      <c r="AC6" s="101">
        <v>627</v>
      </c>
      <c r="AD6" s="101">
        <v>658</v>
      </c>
      <c r="AE6" s="101">
        <v>650</v>
      </c>
      <c r="AF6" s="101">
        <v>618</v>
      </c>
      <c r="AG6" s="101">
        <v>668</v>
      </c>
    </row>
    <row r="7" spans="1:33" ht="25.5">
      <c r="A7" s="101">
        <v>4</v>
      </c>
      <c r="B7" s="79" t="s">
        <v>46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5</v>
      </c>
      <c r="AE7" s="101">
        <v>7</v>
      </c>
      <c r="AF7" s="101">
        <v>14</v>
      </c>
      <c r="AG7" s="101">
        <v>22</v>
      </c>
    </row>
    <row r="8" spans="1:33" ht="25.5">
      <c r="A8" s="101">
        <v>5</v>
      </c>
      <c r="B8" s="79" t="s">
        <v>47</v>
      </c>
      <c r="C8" s="101">
        <v>4236</v>
      </c>
      <c r="D8" s="101">
        <v>4048</v>
      </c>
      <c r="E8" s="101">
        <v>4198</v>
      </c>
      <c r="F8" s="101">
        <v>4160</v>
      </c>
      <c r="G8" s="101">
        <v>4277</v>
      </c>
      <c r="H8" s="101">
        <v>4307</v>
      </c>
      <c r="I8" s="101">
        <v>4099</v>
      </c>
      <c r="J8" s="101">
        <v>3802</v>
      </c>
      <c r="K8" s="101">
        <v>4434</v>
      </c>
      <c r="L8" s="101">
        <v>4156</v>
      </c>
      <c r="M8" s="101">
        <v>4235</v>
      </c>
      <c r="N8" s="101">
        <v>4131</v>
      </c>
      <c r="O8" s="101">
        <v>4012</v>
      </c>
      <c r="P8" s="101">
        <v>3994</v>
      </c>
      <c r="Q8" s="101">
        <v>3942</v>
      </c>
      <c r="R8" s="101">
        <v>3891</v>
      </c>
      <c r="S8" s="101">
        <v>3935</v>
      </c>
      <c r="T8" s="101">
        <v>3952</v>
      </c>
      <c r="U8" s="101">
        <v>3850</v>
      </c>
      <c r="V8" s="101">
        <v>3754</v>
      </c>
      <c r="W8" s="101">
        <v>3895</v>
      </c>
      <c r="X8" s="101">
        <v>3613</v>
      </c>
      <c r="Y8" s="101">
        <v>3837</v>
      </c>
      <c r="Z8" s="101">
        <v>3742</v>
      </c>
      <c r="AA8" s="101">
        <v>3625</v>
      </c>
      <c r="AB8" s="101">
        <v>3686</v>
      </c>
      <c r="AC8" s="101">
        <v>3457</v>
      </c>
      <c r="AD8" s="101">
        <v>3714</v>
      </c>
      <c r="AE8" s="101">
        <v>3612</v>
      </c>
      <c r="AF8" s="101">
        <v>3399</v>
      </c>
      <c r="AG8" s="101">
        <v>3759</v>
      </c>
    </row>
    <row r="9" spans="1:33" ht="25.5">
      <c r="A9" s="101">
        <v>6</v>
      </c>
      <c r="B9" s="79" t="s">
        <v>48</v>
      </c>
      <c r="C9" s="101">
        <v>1488</v>
      </c>
      <c r="D9" s="101">
        <v>1445</v>
      </c>
      <c r="E9" s="101">
        <v>1544</v>
      </c>
      <c r="F9" s="101">
        <v>1519</v>
      </c>
      <c r="G9" s="101">
        <v>1539</v>
      </c>
      <c r="H9" s="101">
        <v>1583</v>
      </c>
      <c r="I9" s="101">
        <v>1567</v>
      </c>
      <c r="J9" s="101">
        <v>1419</v>
      </c>
      <c r="K9" s="101">
        <v>1695</v>
      </c>
      <c r="L9" s="101">
        <v>1588</v>
      </c>
      <c r="M9" s="101">
        <v>1610</v>
      </c>
      <c r="N9" s="101">
        <v>1554</v>
      </c>
      <c r="O9" s="101">
        <v>1516</v>
      </c>
      <c r="P9" s="101">
        <v>1485</v>
      </c>
      <c r="Q9" s="101">
        <v>1527</v>
      </c>
      <c r="R9" s="101">
        <v>1508</v>
      </c>
      <c r="S9" s="101">
        <v>1499</v>
      </c>
      <c r="T9" s="101">
        <v>1514</v>
      </c>
      <c r="U9" s="101">
        <v>1464</v>
      </c>
      <c r="V9" s="101">
        <v>1466</v>
      </c>
      <c r="W9" s="101">
        <v>1520</v>
      </c>
      <c r="X9" s="101">
        <v>1435</v>
      </c>
      <c r="Y9" s="101">
        <v>1542</v>
      </c>
      <c r="Z9" s="101">
        <v>1472</v>
      </c>
      <c r="AA9" s="101">
        <v>1371</v>
      </c>
      <c r="AB9" s="101">
        <v>1450</v>
      </c>
      <c r="AC9" s="101">
        <v>1348</v>
      </c>
      <c r="AD9" s="101">
        <v>1448</v>
      </c>
      <c r="AE9" s="101">
        <v>1410</v>
      </c>
      <c r="AF9" s="101">
        <v>1336</v>
      </c>
      <c r="AG9" s="101">
        <v>1414</v>
      </c>
    </row>
    <row r="10" spans="1:33" ht="12.75">
      <c r="A10" s="101">
        <v>7</v>
      </c>
      <c r="B10" s="79" t="s">
        <v>49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38</v>
      </c>
      <c r="AA10" s="101">
        <v>84</v>
      </c>
      <c r="AB10" s="101">
        <v>102</v>
      </c>
      <c r="AC10" s="101">
        <v>131</v>
      </c>
      <c r="AD10" s="101">
        <v>215</v>
      </c>
      <c r="AE10" s="101">
        <v>237</v>
      </c>
      <c r="AF10" s="101">
        <v>263</v>
      </c>
      <c r="AG10" s="101">
        <v>279</v>
      </c>
    </row>
    <row r="11" spans="1:33" ht="25.5">
      <c r="A11" s="101">
        <v>8</v>
      </c>
      <c r="B11" s="79" t="s">
        <v>50</v>
      </c>
      <c r="C11" s="101">
        <v>304</v>
      </c>
      <c r="D11" s="101">
        <v>291</v>
      </c>
      <c r="E11" s="101">
        <v>307</v>
      </c>
      <c r="F11" s="101">
        <v>303</v>
      </c>
      <c r="G11" s="101">
        <v>298</v>
      </c>
      <c r="H11" s="101">
        <v>294</v>
      </c>
      <c r="I11" s="101">
        <v>284</v>
      </c>
      <c r="J11" s="101">
        <v>243</v>
      </c>
      <c r="K11" s="101">
        <v>314</v>
      </c>
      <c r="L11" s="101">
        <v>286</v>
      </c>
      <c r="M11" s="101">
        <v>300</v>
      </c>
      <c r="N11" s="101">
        <v>308</v>
      </c>
      <c r="O11" s="101">
        <v>291</v>
      </c>
      <c r="P11" s="101">
        <v>289</v>
      </c>
      <c r="Q11" s="101">
        <v>300</v>
      </c>
      <c r="R11" s="101">
        <v>306</v>
      </c>
      <c r="S11" s="101">
        <v>310</v>
      </c>
      <c r="T11" s="101">
        <v>318</v>
      </c>
      <c r="U11" s="101">
        <v>311</v>
      </c>
      <c r="V11" s="101">
        <v>302</v>
      </c>
      <c r="W11" s="101">
        <v>331</v>
      </c>
      <c r="X11" s="101">
        <v>302</v>
      </c>
      <c r="Y11" s="101">
        <v>320</v>
      </c>
      <c r="Z11" s="101">
        <v>315</v>
      </c>
      <c r="AA11" s="101">
        <v>287</v>
      </c>
      <c r="AB11" s="101">
        <v>297</v>
      </c>
      <c r="AC11" s="101">
        <v>281</v>
      </c>
      <c r="AD11" s="101">
        <v>317</v>
      </c>
      <c r="AE11" s="101">
        <v>301</v>
      </c>
      <c r="AF11" s="101">
        <v>281</v>
      </c>
      <c r="AG11" s="101">
        <v>303</v>
      </c>
    </row>
    <row r="12" spans="1:33" ht="25.5">
      <c r="A12" s="101">
        <v>9</v>
      </c>
      <c r="B12" s="79" t="s">
        <v>51</v>
      </c>
      <c r="C12" s="101">
        <v>538</v>
      </c>
      <c r="D12" s="101">
        <v>530</v>
      </c>
      <c r="E12" s="101">
        <v>554</v>
      </c>
      <c r="F12" s="101">
        <v>547</v>
      </c>
      <c r="G12" s="101">
        <v>594</v>
      </c>
      <c r="H12" s="101">
        <v>577</v>
      </c>
      <c r="I12" s="101">
        <v>555</v>
      </c>
      <c r="J12" s="101">
        <v>516</v>
      </c>
      <c r="K12" s="101">
        <v>599</v>
      </c>
      <c r="L12" s="101">
        <v>554</v>
      </c>
      <c r="M12" s="101">
        <v>573</v>
      </c>
      <c r="N12" s="101">
        <v>563</v>
      </c>
      <c r="O12" s="101">
        <v>546</v>
      </c>
      <c r="P12" s="101">
        <v>540</v>
      </c>
      <c r="Q12" s="101">
        <v>534</v>
      </c>
      <c r="R12" s="101">
        <v>539</v>
      </c>
      <c r="S12" s="101">
        <v>537</v>
      </c>
      <c r="T12" s="101">
        <v>545</v>
      </c>
      <c r="U12" s="101">
        <v>510</v>
      </c>
      <c r="V12" s="101">
        <v>512</v>
      </c>
      <c r="W12" s="101">
        <v>543</v>
      </c>
      <c r="X12" s="101">
        <v>501</v>
      </c>
      <c r="Y12" s="101">
        <v>519</v>
      </c>
      <c r="Z12" s="101">
        <v>522</v>
      </c>
      <c r="AA12" s="101">
        <v>499</v>
      </c>
      <c r="AB12" s="101">
        <v>501</v>
      </c>
      <c r="AC12" s="101">
        <v>477</v>
      </c>
      <c r="AD12" s="101">
        <v>524</v>
      </c>
      <c r="AE12" s="101">
        <v>505</v>
      </c>
      <c r="AF12" s="101">
        <v>482</v>
      </c>
      <c r="AG12" s="101">
        <v>511</v>
      </c>
    </row>
    <row r="13" spans="1:33" ht="25.5">
      <c r="A13" s="101">
        <v>10</v>
      </c>
      <c r="B13" s="79" t="s">
        <v>52</v>
      </c>
      <c r="C13" s="101">
        <v>581</v>
      </c>
      <c r="D13" s="101">
        <v>553</v>
      </c>
      <c r="E13" s="101">
        <v>601</v>
      </c>
      <c r="F13" s="101">
        <v>605</v>
      </c>
      <c r="G13" s="101">
        <v>638</v>
      </c>
      <c r="H13" s="101">
        <v>645</v>
      </c>
      <c r="I13" s="101">
        <v>649</v>
      </c>
      <c r="J13" s="101">
        <v>608</v>
      </c>
      <c r="K13" s="101">
        <v>740</v>
      </c>
      <c r="L13" s="101">
        <v>687</v>
      </c>
      <c r="M13" s="101">
        <v>702</v>
      </c>
      <c r="N13" s="101">
        <v>696</v>
      </c>
      <c r="O13" s="101">
        <v>673</v>
      </c>
      <c r="P13" s="101">
        <v>670</v>
      </c>
      <c r="Q13" s="101">
        <v>677</v>
      </c>
      <c r="R13" s="101">
        <v>686</v>
      </c>
      <c r="S13" s="101">
        <v>679</v>
      </c>
      <c r="T13" s="101">
        <v>709</v>
      </c>
      <c r="U13" s="101">
        <v>688</v>
      </c>
      <c r="V13" s="101">
        <v>690</v>
      </c>
      <c r="W13" s="101">
        <v>734</v>
      </c>
      <c r="X13" s="101">
        <v>678</v>
      </c>
      <c r="Y13" s="101">
        <v>720</v>
      </c>
      <c r="Z13" s="101">
        <v>699</v>
      </c>
      <c r="AA13" s="101">
        <v>667</v>
      </c>
      <c r="AB13" s="101">
        <v>676</v>
      </c>
      <c r="AC13" s="101">
        <v>689</v>
      </c>
      <c r="AD13" s="101">
        <v>734</v>
      </c>
      <c r="AE13" s="101">
        <v>719</v>
      </c>
      <c r="AF13" s="101">
        <v>673</v>
      </c>
      <c r="AG13" s="101">
        <v>715</v>
      </c>
    </row>
    <row r="14" spans="1:33" ht="12.75">
      <c r="A14" s="101">
        <v>11</v>
      </c>
      <c r="B14" s="79" t="s">
        <v>53</v>
      </c>
      <c r="C14" s="101">
        <v>3148</v>
      </c>
      <c r="D14" s="101">
        <v>3039</v>
      </c>
      <c r="E14" s="101">
        <v>3207</v>
      </c>
      <c r="F14" s="101">
        <v>3253</v>
      </c>
      <c r="G14" s="101">
        <v>3370</v>
      </c>
      <c r="H14" s="101">
        <v>3450</v>
      </c>
      <c r="I14" s="101">
        <v>3462</v>
      </c>
      <c r="J14" s="101">
        <v>3143</v>
      </c>
      <c r="K14" s="101">
        <v>3838</v>
      </c>
      <c r="L14" s="101">
        <v>3620</v>
      </c>
      <c r="M14" s="101">
        <v>3696</v>
      </c>
      <c r="N14" s="101">
        <v>3684</v>
      </c>
      <c r="O14" s="101">
        <v>3630</v>
      </c>
      <c r="P14" s="101">
        <v>3574</v>
      </c>
      <c r="Q14" s="101">
        <v>3655</v>
      </c>
      <c r="R14" s="101">
        <v>3665</v>
      </c>
      <c r="S14" s="101">
        <v>3868</v>
      </c>
      <c r="T14" s="101">
        <v>3977</v>
      </c>
      <c r="U14" s="101">
        <v>3858</v>
      </c>
      <c r="V14" s="101">
        <v>3867</v>
      </c>
      <c r="W14" s="101">
        <v>4067</v>
      </c>
      <c r="X14" s="101">
        <v>3810</v>
      </c>
      <c r="Y14" s="101">
        <v>4113</v>
      </c>
      <c r="Z14" s="101">
        <v>4070</v>
      </c>
      <c r="AA14" s="101">
        <v>3893</v>
      </c>
      <c r="AB14" s="101">
        <v>3953</v>
      </c>
      <c r="AC14" s="101">
        <v>3889</v>
      </c>
      <c r="AD14" s="101">
        <v>4175</v>
      </c>
      <c r="AE14" s="101">
        <v>4088</v>
      </c>
      <c r="AF14" s="101">
        <v>4043</v>
      </c>
      <c r="AG14" s="101">
        <v>4372</v>
      </c>
    </row>
    <row r="15" spans="1:33" ht="12.75">
      <c r="A15" s="101">
        <v>12</v>
      </c>
      <c r="B15" s="79" t="s">
        <v>54</v>
      </c>
      <c r="C15" s="101">
        <v>1109</v>
      </c>
      <c r="D15" s="101">
        <v>1053</v>
      </c>
      <c r="E15" s="101">
        <v>1135</v>
      </c>
      <c r="F15" s="101">
        <v>1136</v>
      </c>
      <c r="G15" s="101">
        <v>1182</v>
      </c>
      <c r="H15" s="101">
        <v>1204</v>
      </c>
      <c r="I15" s="101">
        <v>1142</v>
      </c>
      <c r="J15" s="101">
        <v>1106</v>
      </c>
      <c r="K15" s="101">
        <v>1356</v>
      </c>
      <c r="L15" s="101">
        <v>1295</v>
      </c>
      <c r="M15" s="101">
        <v>1310</v>
      </c>
      <c r="N15" s="101">
        <v>1274</v>
      </c>
      <c r="O15" s="101">
        <v>1216</v>
      </c>
      <c r="P15" s="101">
        <v>1264</v>
      </c>
      <c r="Q15" s="101">
        <v>1224</v>
      </c>
      <c r="R15" s="101">
        <v>1251</v>
      </c>
      <c r="S15" s="101">
        <v>1300</v>
      </c>
      <c r="T15" s="101">
        <v>1342</v>
      </c>
      <c r="U15" s="101">
        <v>1304</v>
      </c>
      <c r="V15" s="101">
        <v>1272</v>
      </c>
      <c r="W15" s="101">
        <v>1374</v>
      </c>
      <c r="X15" s="101">
        <v>1247</v>
      </c>
      <c r="Y15" s="101">
        <v>1379</v>
      </c>
      <c r="Z15" s="101">
        <v>1329</v>
      </c>
      <c r="AA15" s="101">
        <v>1309</v>
      </c>
      <c r="AB15" s="101">
        <v>1319</v>
      </c>
      <c r="AC15" s="101">
        <v>1278</v>
      </c>
      <c r="AD15" s="101">
        <v>1395</v>
      </c>
      <c r="AE15" s="101">
        <v>1380</v>
      </c>
      <c r="AF15" s="101">
        <v>1303</v>
      </c>
      <c r="AG15" s="101">
        <v>1433</v>
      </c>
    </row>
    <row r="16" spans="1:33" ht="12.75">
      <c r="A16" s="101">
        <v>13</v>
      </c>
      <c r="B16" s="79" t="s">
        <v>55</v>
      </c>
      <c r="C16" s="101">
        <v>856</v>
      </c>
      <c r="D16" s="101">
        <v>828</v>
      </c>
      <c r="E16" s="101">
        <v>857</v>
      </c>
      <c r="F16" s="101">
        <v>852</v>
      </c>
      <c r="G16" s="101">
        <v>891</v>
      </c>
      <c r="H16" s="101">
        <v>885</v>
      </c>
      <c r="I16" s="101">
        <v>882</v>
      </c>
      <c r="J16" s="101">
        <v>772</v>
      </c>
      <c r="K16" s="101">
        <v>995</v>
      </c>
      <c r="L16" s="101">
        <v>900</v>
      </c>
      <c r="M16" s="101">
        <v>938</v>
      </c>
      <c r="N16" s="101">
        <v>915</v>
      </c>
      <c r="O16" s="101">
        <v>902</v>
      </c>
      <c r="P16" s="101">
        <v>947</v>
      </c>
      <c r="Q16" s="101">
        <v>919</v>
      </c>
      <c r="R16" s="101">
        <v>907</v>
      </c>
      <c r="S16" s="101">
        <v>930</v>
      </c>
      <c r="T16" s="101">
        <v>970</v>
      </c>
      <c r="U16" s="101">
        <v>971</v>
      </c>
      <c r="V16" s="101">
        <v>955</v>
      </c>
      <c r="W16" s="101">
        <v>1024</v>
      </c>
      <c r="X16" s="101">
        <v>967</v>
      </c>
      <c r="Y16" s="101">
        <v>1031</v>
      </c>
      <c r="Z16" s="101">
        <v>1006</v>
      </c>
      <c r="AA16" s="101">
        <v>991</v>
      </c>
      <c r="AB16" s="101">
        <v>1011</v>
      </c>
      <c r="AC16" s="101">
        <v>1003</v>
      </c>
      <c r="AD16" s="101">
        <v>1043</v>
      </c>
      <c r="AE16" s="101">
        <v>1038</v>
      </c>
      <c r="AF16" s="101">
        <v>1008</v>
      </c>
      <c r="AG16" s="101">
        <v>1102</v>
      </c>
    </row>
    <row r="17" spans="1:33" ht="12.75">
      <c r="A17" s="101">
        <v>14</v>
      </c>
      <c r="B17" s="79" t="s">
        <v>56</v>
      </c>
      <c r="C17" s="101">
        <v>49</v>
      </c>
      <c r="D17" s="101">
        <v>38</v>
      </c>
      <c r="E17" s="101">
        <v>50</v>
      </c>
      <c r="F17" s="101">
        <v>58</v>
      </c>
      <c r="G17" s="101">
        <v>59</v>
      </c>
      <c r="H17" s="101">
        <v>74</v>
      </c>
      <c r="I17" s="101">
        <v>62</v>
      </c>
      <c r="J17" s="101">
        <v>59</v>
      </c>
      <c r="K17" s="101">
        <v>84</v>
      </c>
      <c r="L17" s="101">
        <v>78</v>
      </c>
      <c r="M17" s="101">
        <v>75</v>
      </c>
      <c r="N17" s="101">
        <v>87</v>
      </c>
      <c r="O17" s="101">
        <v>82</v>
      </c>
      <c r="P17" s="101">
        <v>80</v>
      </c>
      <c r="Q17" s="101">
        <v>87</v>
      </c>
      <c r="R17" s="101">
        <v>93</v>
      </c>
      <c r="S17" s="101">
        <v>91</v>
      </c>
      <c r="T17" s="101">
        <v>98</v>
      </c>
      <c r="U17" s="101">
        <v>95</v>
      </c>
      <c r="V17" s="101">
        <v>104</v>
      </c>
      <c r="W17" s="101">
        <v>106</v>
      </c>
      <c r="X17" s="101">
        <v>102</v>
      </c>
      <c r="Y17" s="101">
        <v>118</v>
      </c>
      <c r="Z17" s="101">
        <v>119</v>
      </c>
      <c r="AA17" s="101">
        <v>125</v>
      </c>
      <c r="AB17" s="101">
        <v>125</v>
      </c>
      <c r="AC17" s="101">
        <v>123</v>
      </c>
      <c r="AD17" s="101">
        <v>133</v>
      </c>
      <c r="AE17" s="101">
        <v>148</v>
      </c>
      <c r="AF17" s="101">
        <v>154</v>
      </c>
      <c r="AG17" s="101">
        <v>176</v>
      </c>
    </row>
    <row r="18" spans="1:33" ht="12.75">
      <c r="A18" s="101">
        <v>15</v>
      </c>
      <c r="B18" s="79" t="s">
        <v>57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180</v>
      </c>
      <c r="W18" s="101">
        <v>404</v>
      </c>
      <c r="X18" s="101">
        <v>526</v>
      </c>
      <c r="Y18" s="101">
        <v>704</v>
      </c>
      <c r="Z18" s="101">
        <v>850</v>
      </c>
      <c r="AA18" s="101">
        <v>942</v>
      </c>
      <c r="AB18" s="101">
        <v>994</v>
      </c>
      <c r="AC18" s="101">
        <v>1109</v>
      </c>
      <c r="AD18" s="101">
        <v>1353</v>
      </c>
      <c r="AE18" s="101">
        <v>1448</v>
      </c>
      <c r="AF18" s="101">
        <v>1534</v>
      </c>
      <c r="AG18" s="101">
        <v>1721</v>
      </c>
    </row>
    <row r="19" spans="1:33" ht="12.75">
      <c r="A19" s="101">
        <v>16</v>
      </c>
      <c r="B19" s="79" t="s">
        <v>58</v>
      </c>
      <c r="C19" s="101">
        <v>542</v>
      </c>
      <c r="D19" s="101">
        <v>549</v>
      </c>
      <c r="E19" s="101">
        <v>621</v>
      </c>
      <c r="F19" s="101">
        <v>692</v>
      </c>
      <c r="G19" s="101">
        <v>808</v>
      </c>
      <c r="H19" s="101">
        <v>825</v>
      </c>
      <c r="I19" s="101">
        <v>847</v>
      </c>
      <c r="J19" s="101">
        <v>779</v>
      </c>
      <c r="K19" s="101">
        <v>985</v>
      </c>
      <c r="L19" s="101">
        <v>952</v>
      </c>
      <c r="M19" s="101">
        <v>1003</v>
      </c>
      <c r="N19" s="101">
        <v>1022</v>
      </c>
      <c r="O19" s="101">
        <v>1014</v>
      </c>
      <c r="P19" s="101">
        <v>1032</v>
      </c>
      <c r="Q19" s="101">
        <v>1051</v>
      </c>
      <c r="R19" s="101">
        <v>1065</v>
      </c>
      <c r="S19" s="101">
        <v>1136</v>
      </c>
      <c r="T19" s="101">
        <v>1200</v>
      </c>
      <c r="U19" s="101">
        <v>1189</v>
      </c>
      <c r="V19" s="101">
        <v>1191</v>
      </c>
      <c r="W19" s="101">
        <v>1270</v>
      </c>
      <c r="X19" s="101">
        <v>1120</v>
      </c>
      <c r="Y19" s="101">
        <v>1196</v>
      </c>
      <c r="Z19" s="101">
        <v>1233</v>
      </c>
      <c r="AA19" s="101">
        <v>1209</v>
      </c>
      <c r="AB19" s="101">
        <v>1206</v>
      </c>
      <c r="AC19" s="101">
        <v>1198</v>
      </c>
      <c r="AD19" s="101">
        <v>1309</v>
      </c>
      <c r="AE19" s="101">
        <v>1253</v>
      </c>
      <c r="AF19" s="101">
        <v>1226</v>
      </c>
      <c r="AG19" s="101">
        <v>1331</v>
      </c>
    </row>
    <row r="20" spans="1:33" ht="12.75">
      <c r="A20" s="101">
        <v>17</v>
      </c>
      <c r="B20" s="79" t="s">
        <v>59</v>
      </c>
      <c r="C20" s="101">
        <v>57</v>
      </c>
      <c r="D20" s="101">
        <v>46</v>
      </c>
      <c r="E20" s="101">
        <v>56</v>
      </c>
      <c r="F20" s="101">
        <v>57</v>
      </c>
      <c r="G20" s="101">
        <v>70</v>
      </c>
      <c r="H20" s="101">
        <v>67</v>
      </c>
      <c r="I20" s="101">
        <v>75</v>
      </c>
      <c r="J20" s="101">
        <v>68</v>
      </c>
      <c r="K20" s="101">
        <v>91</v>
      </c>
      <c r="L20" s="101">
        <v>78</v>
      </c>
      <c r="M20" s="101">
        <v>109</v>
      </c>
      <c r="N20" s="101">
        <v>97</v>
      </c>
      <c r="O20" s="101">
        <v>94</v>
      </c>
      <c r="P20" s="101">
        <v>110</v>
      </c>
      <c r="Q20" s="101">
        <v>98</v>
      </c>
      <c r="R20" s="101">
        <v>102</v>
      </c>
      <c r="S20" s="101">
        <v>93</v>
      </c>
      <c r="T20" s="101">
        <v>114</v>
      </c>
      <c r="U20" s="101">
        <v>115</v>
      </c>
      <c r="V20" s="101">
        <v>119</v>
      </c>
      <c r="W20" s="101">
        <v>129</v>
      </c>
      <c r="X20" s="101">
        <v>131</v>
      </c>
      <c r="Y20" s="101">
        <v>150</v>
      </c>
      <c r="Z20" s="101">
        <v>156</v>
      </c>
      <c r="AA20" s="101">
        <v>144</v>
      </c>
      <c r="AB20" s="101">
        <v>150</v>
      </c>
      <c r="AC20" s="101">
        <v>146</v>
      </c>
      <c r="AD20" s="101">
        <v>157</v>
      </c>
      <c r="AE20" s="101">
        <v>170</v>
      </c>
      <c r="AF20" s="101">
        <v>154</v>
      </c>
      <c r="AG20" s="101">
        <v>183</v>
      </c>
    </row>
    <row r="21" spans="1:33" ht="12.75">
      <c r="A21" s="101">
        <v>18</v>
      </c>
      <c r="B21" s="79" t="s">
        <v>60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43</v>
      </c>
      <c r="J21" s="101">
        <v>139</v>
      </c>
      <c r="K21" s="101">
        <v>316</v>
      </c>
      <c r="L21" s="101">
        <v>425</v>
      </c>
      <c r="M21" s="101">
        <v>527</v>
      </c>
      <c r="N21" s="101">
        <v>565</v>
      </c>
      <c r="O21" s="101">
        <v>576</v>
      </c>
      <c r="P21" s="101">
        <v>603</v>
      </c>
      <c r="Q21" s="101">
        <v>660</v>
      </c>
      <c r="R21" s="101">
        <v>686</v>
      </c>
      <c r="S21" s="101">
        <v>735</v>
      </c>
      <c r="T21" s="101">
        <v>802</v>
      </c>
      <c r="U21" s="101">
        <v>814</v>
      </c>
      <c r="V21" s="101">
        <v>795</v>
      </c>
      <c r="W21" s="101">
        <v>871</v>
      </c>
      <c r="X21" s="101">
        <v>827</v>
      </c>
      <c r="Y21" s="101">
        <v>866</v>
      </c>
      <c r="Z21" s="101">
        <v>848</v>
      </c>
      <c r="AA21" s="101">
        <v>804</v>
      </c>
      <c r="AB21" s="101">
        <v>847</v>
      </c>
      <c r="AC21" s="101">
        <v>829</v>
      </c>
      <c r="AD21" s="101">
        <v>918</v>
      </c>
      <c r="AE21" s="101">
        <v>928</v>
      </c>
      <c r="AF21" s="101">
        <v>904</v>
      </c>
      <c r="AG21" s="101">
        <v>1003</v>
      </c>
    </row>
    <row r="22" spans="1:33" ht="12.75">
      <c r="A22" s="101">
        <v>19</v>
      </c>
      <c r="B22" s="79" t="s">
        <v>61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11</v>
      </c>
      <c r="V22" s="101">
        <v>52</v>
      </c>
      <c r="W22" s="101">
        <v>94</v>
      </c>
      <c r="X22" s="101">
        <v>109</v>
      </c>
      <c r="Y22" s="101">
        <v>142</v>
      </c>
      <c r="Z22" s="101">
        <v>171</v>
      </c>
      <c r="AA22" s="101">
        <v>180</v>
      </c>
      <c r="AB22" s="101">
        <v>198</v>
      </c>
      <c r="AC22" s="101">
        <v>217</v>
      </c>
      <c r="AD22" s="101">
        <v>274</v>
      </c>
      <c r="AE22" s="101">
        <v>298</v>
      </c>
      <c r="AF22" s="101">
        <v>308</v>
      </c>
      <c r="AG22" s="101">
        <v>369</v>
      </c>
    </row>
    <row r="23" spans="1:33" ht="12.75">
      <c r="A23" s="101">
        <v>20</v>
      </c>
      <c r="B23" s="79" t="s">
        <v>62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2</v>
      </c>
      <c r="V23" s="101">
        <v>28</v>
      </c>
      <c r="W23" s="101">
        <v>44</v>
      </c>
      <c r="X23" s="101">
        <v>59</v>
      </c>
      <c r="Y23" s="101">
        <v>73</v>
      </c>
      <c r="Z23" s="101">
        <v>91</v>
      </c>
      <c r="AA23" s="101">
        <v>100</v>
      </c>
      <c r="AB23" s="101">
        <v>118</v>
      </c>
      <c r="AC23" s="101">
        <v>126</v>
      </c>
      <c r="AD23" s="101">
        <v>151</v>
      </c>
      <c r="AE23" s="101">
        <v>163</v>
      </c>
      <c r="AF23" s="101">
        <v>166</v>
      </c>
      <c r="AG23" s="101">
        <v>207</v>
      </c>
    </row>
    <row r="24" spans="1:33" ht="12.75">
      <c r="A24" s="101">
        <v>21</v>
      </c>
      <c r="B24" s="79" t="s">
        <v>63</v>
      </c>
      <c r="C24" s="101">
        <v>74</v>
      </c>
      <c r="D24" s="101">
        <v>67</v>
      </c>
      <c r="E24" s="101">
        <v>71</v>
      </c>
      <c r="F24" s="101">
        <v>75</v>
      </c>
      <c r="G24" s="101">
        <v>82</v>
      </c>
      <c r="H24" s="101">
        <v>81</v>
      </c>
      <c r="I24" s="101">
        <v>74</v>
      </c>
      <c r="J24" s="101">
        <v>64</v>
      </c>
      <c r="K24" s="101">
        <v>74</v>
      </c>
      <c r="L24" s="101">
        <v>64</v>
      </c>
      <c r="M24" s="101">
        <v>74</v>
      </c>
      <c r="N24" s="101">
        <v>65</v>
      </c>
      <c r="O24" s="101">
        <v>61</v>
      </c>
      <c r="P24" s="101">
        <v>71</v>
      </c>
      <c r="Q24" s="101">
        <v>68</v>
      </c>
      <c r="R24" s="101">
        <v>77</v>
      </c>
      <c r="S24" s="101">
        <v>72</v>
      </c>
      <c r="T24" s="101">
        <v>76</v>
      </c>
      <c r="U24" s="101">
        <v>63</v>
      </c>
      <c r="V24" s="101">
        <v>71</v>
      </c>
      <c r="W24" s="101">
        <v>64</v>
      </c>
      <c r="X24" s="101">
        <v>58</v>
      </c>
      <c r="Y24" s="101">
        <v>67</v>
      </c>
      <c r="Z24" s="101">
        <v>65</v>
      </c>
      <c r="AA24" s="101">
        <v>65</v>
      </c>
      <c r="AB24" s="101">
        <v>56</v>
      </c>
      <c r="AC24" s="101">
        <v>58</v>
      </c>
      <c r="AD24" s="101">
        <v>80</v>
      </c>
      <c r="AE24" s="101">
        <v>60</v>
      </c>
      <c r="AF24" s="101">
        <v>55</v>
      </c>
      <c r="AG24" s="101">
        <v>68</v>
      </c>
    </row>
    <row r="25" spans="1:33" ht="25.5">
      <c r="A25" s="101">
        <v>22</v>
      </c>
      <c r="B25" s="79" t="s">
        <v>64</v>
      </c>
      <c r="C25" s="101">
        <v>296</v>
      </c>
      <c r="D25" s="101">
        <v>241</v>
      </c>
      <c r="E25" s="101">
        <v>255</v>
      </c>
      <c r="F25" s="101">
        <v>253</v>
      </c>
      <c r="G25" s="101">
        <v>255</v>
      </c>
      <c r="H25" s="101">
        <v>293</v>
      </c>
      <c r="I25" s="101">
        <v>245</v>
      </c>
      <c r="J25" s="101">
        <v>238</v>
      </c>
      <c r="K25" s="101">
        <v>292</v>
      </c>
      <c r="L25" s="101">
        <v>233</v>
      </c>
      <c r="M25" s="101">
        <v>266</v>
      </c>
      <c r="N25" s="101">
        <v>251</v>
      </c>
      <c r="O25" s="101">
        <v>256</v>
      </c>
      <c r="P25" s="101">
        <v>255</v>
      </c>
      <c r="Q25" s="101">
        <v>243</v>
      </c>
      <c r="R25" s="101">
        <v>281</v>
      </c>
      <c r="S25" s="101">
        <v>251</v>
      </c>
      <c r="T25" s="101">
        <v>268</v>
      </c>
      <c r="U25" s="101">
        <v>250</v>
      </c>
      <c r="V25" s="101">
        <v>231</v>
      </c>
      <c r="W25" s="101">
        <v>245</v>
      </c>
      <c r="X25" s="101">
        <v>243</v>
      </c>
      <c r="Y25" s="101">
        <v>263</v>
      </c>
      <c r="Z25" s="101">
        <v>240</v>
      </c>
      <c r="AA25" s="101">
        <v>228</v>
      </c>
      <c r="AB25" s="101">
        <v>226</v>
      </c>
      <c r="AC25" s="101">
        <v>246</v>
      </c>
      <c r="AD25" s="101">
        <v>232</v>
      </c>
      <c r="AE25" s="101">
        <v>232</v>
      </c>
      <c r="AF25" s="101">
        <v>228</v>
      </c>
      <c r="AG25" s="101">
        <v>245</v>
      </c>
    </row>
    <row r="26" spans="1:33" ht="25.5">
      <c r="A26" s="101">
        <v>23</v>
      </c>
      <c r="B26" s="79" t="s">
        <v>65</v>
      </c>
      <c r="C26" s="101">
        <v>102</v>
      </c>
      <c r="D26" s="101">
        <v>110</v>
      </c>
      <c r="E26" s="101">
        <v>117</v>
      </c>
      <c r="F26" s="101">
        <v>104</v>
      </c>
      <c r="G26" s="101">
        <v>112</v>
      </c>
      <c r="H26" s="101">
        <v>106</v>
      </c>
      <c r="I26" s="101">
        <v>117</v>
      </c>
      <c r="J26" s="101">
        <v>93</v>
      </c>
      <c r="K26" s="101">
        <v>123</v>
      </c>
      <c r="L26" s="101">
        <v>115</v>
      </c>
      <c r="M26" s="101">
        <v>123</v>
      </c>
      <c r="N26" s="101">
        <v>123</v>
      </c>
      <c r="O26" s="101">
        <v>109</v>
      </c>
      <c r="P26" s="101">
        <v>120</v>
      </c>
      <c r="Q26" s="101">
        <v>122</v>
      </c>
      <c r="R26" s="101">
        <v>127</v>
      </c>
      <c r="S26" s="101">
        <v>125</v>
      </c>
      <c r="T26" s="101">
        <v>130</v>
      </c>
      <c r="U26" s="101">
        <v>133</v>
      </c>
      <c r="V26" s="101">
        <v>130</v>
      </c>
      <c r="W26" s="101">
        <v>141</v>
      </c>
      <c r="X26" s="101">
        <v>129</v>
      </c>
      <c r="Y26" s="101">
        <v>149</v>
      </c>
      <c r="Z26" s="101">
        <v>152</v>
      </c>
      <c r="AA26" s="101">
        <v>143</v>
      </c>
      <c r="AB26" s="101">
        <v>145</v>
      </c>
      <c r="AC26" s="101">
        <v>134</v>
      </c>
      <c r="AD26" s="101">
        <v>140</v>
      </c>
      <c r="AE26" s="101">
        <v>147</v>
      </c>
      <c r="AF26" s="101">
        <v>134</v>
      </c>
      <c r="AG26" s="101">
        <v>145</v>
      </c>
    </row>
    <row r="27" spans="1:33" ht="25.5">
      <c r="A27" s="101">
        <v>24</v>
      </c>
      <c r="B27" s="79" t="s">
        <v>66</v>
      </c>
      <c r="C27" s="101">
        <v>38</v>
      </c>
      <c r="D27" s="101">
        <v>37</v>
      </c>
      <c r="E27" s="101">
        <v>34</v>
      </c>
      <c r="F27" s="101">
        <v>32</v>
      </c>
      <c r="G27" s="101">
        <v>37</v>
      </c>
      <c r="H27" s="101">
        <v>34</v>
      </c>
      <c r="I27" s="101">
        <v>37</v>
      </c>
      <c r="J27" s="101">
        <v>28</v>
      </c>
      <c r="K27" s="101">
        <v>34</v>
      </c>
      <c r="L27" s="101">
        <v>30</v>
      </c>
      <c r="M27" s="101">
        <v>29</v>
      </c>
      <c r="N27" s="101">
        <v>30</v>
      </c>
      <c r="O27" s="101">
        <v>25</v>
      </c>
      <c r="P27" s="101">
        <v>29</v>
      </c>
      <c r="Q27" s="101">
        <v>28</v>
      </c>
      <c r="R27" s="101">
        <v>31</v>
      </c>
      <c r="S27" s="101">
        <v>28</v>
      </c>
      <c r="T27" s="101">
        <v>32</v>
      </c>
      <c r="U27" s="101">
        <v>30</v>
      </c>
      <c r="V27" s="101">
        <v>25</v>
      </c>
      <c r="W27" s="101">
        <v>28</v>
      </c>
      <c r="X27" s="101">
        <v>26</v>
      </c>
      <c r="Y27" s="101">
        <v>28</v>
      </c>
      <c r="Z27" s="101">
        <v>22</v>
      </c>
      <c r="AA27" s="101">
        <v>19</v>
      </c>
      <c r="AB27" s="101">
        <v>18</v>
      </c>
      <c r="AC27" s="101">
        <v>20</v>
      </c>
      <c r="AD27" s="101">
        <v>24</v>
      </c>
      <c r="AE27" s="101">
        <v>20</v>
      </c>
      <c r="AF27" s="101">
        <v>16</v>
      </c>
      <c r="AG27" s="101">
        <v>20</v>
      </c>
    </row>
    <row r="28" spans="1:33" ht="25.5">
      <c r="A28" s="101">
        <v>25</v>
      </c>
      <c r="B28" s="79" t="s">
        <v>67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46</v>
      </c>
      <c r="X28" s="101">
        <v>233</v>
      </c>
      <c r="Y28" s="101">
        <v>465</v>
      </c>
      <c r="Z28" s="101">
        <v>611</v>
      </c>
      <c r="AA28" s="101">
        <v>758</v>
      </c>
      <c r="AB28" s="101">
        <v>783</v>
      </c>
      <c r="AC28" s="101">
        <v>849</v>
      </c>
      <c r="AD28" s="101">
        <v>989</v>
      </c>
      <c r="AE28" s="101">
        <v>1019</v>
      </c>
      <c r="AF28" s="101">
        <v>1032</v>
      </c>
      <c r="AG28" s="101">
        <v>1155</v>
      </c>
    </row>
    <row r="29" spans="1:33" ht="25.5">
      <c r="A29" s="101">
        <v>26</v>
      </c>
      <c r="B29" s="79" t="s">
        <v>68</v>
      </c>
      <c r="C29" s="101">
        <v>2116</v>
      </c>
      <c r="D29" s="101">
        <v>2065</v>
      </c>
      <c r="E29" s="101">
        <v>2117</v>
      </c>
      <c r="F29" s="101">
        <v>2120</v>
      </c>
      <c r="G29" s="101">
        <v>2231</v>
      </c>
      <c r="H29" s="101">
        <v>2282</v>
      </c>
      <c r="I29" s="101">
        <v>2153</v>
      </c>
      <c r="J29" s="101">
        <v>1973</v>
      </c>
      <c r="K29" s="101">
        <v>2349</v>
      </c>
      <c r="L29" s="101">
        <v>2165</v>
      </c>
      <c r="M29" s="101">
        <v>2172</v>
      </c>
      <c r="N29" s="101">
        <v>2192</v>
      </c>
      <c r="O29" s="101">
        <v>2190</v>
      </c>
      <c r="P29" s="101">
        <v>2177</v>
      </c>
      <c r="Q29" s="101">
        <v>2145</v>
      </c>
      <c r="R29" s="101">
        <v>2182</v>
      </c>
      <c r="S29" s="101">
        <v>2230</v>
      </c>
      <c r="T29" s="101">
        <v>2219</v>
      </c>
      <c r="U29" s="101">
        <v>2127</v>
      </c>
      <c r="V29" s="101">
        <v>2098</v>
      </c>
      <c r="W29" s="101">
        <v>2217</v>
      </c>
      <c r="X29" s="101">
        <v>1881</v>
      </c>
      <c r="Y29" s="101">
        <v>1863</v>
      </c>
      <c r="Z29" s="101">
        <v>1686</v>
      </c>
      <c r="AA29" s="101">
        <v>1523</v>
      </c>
      <c r="AB29" s="101">
        <v>1518</v>
      </c>
      <c r="AC29" s="101">
        <v>1369</v>
      </c>
      <c r="AD29" s="101">
        <v>1429</v>
      </c>
      <c r="AE29" s="101">
        <v>1346</v>
      </c>
      <c r="AF29" s="101">
        <v>1225</v>
      </c>
      <c r="AG29" s="101">
        <v>1371</v>
      </c>
    </row>
    <row r="30" spans="1:33" ht="25.5">
      <c r="A30" s="101">
        <v>27</v>
      </c>
      <c r="B30" s="79" t="s">
        <v>69</v>
      </c>
      <c r="C30" s="101">
        <v>1936</v>
      </c>
      <c r="D30" s="101">
        <v>1870</v>
      </c>
      <c r="E30" s="101">
        <v>1962</v>
      </c>
      <c r="F30" s="101">
        <v>1901</v>
      </c>
      <c r="G30" s="101">
        <v>1931</v>
      </c>
      <c r="H30" s="101">
        <v>1928</v>
      </c>
      <c r="I30" s="101">
        <v>1830</v>
      </c>
      <c r="J30" s="101">
        <v>1650</v>
      </c>
      <c r="K30" s="101">
        <v>2043</v>
      </c>
      <c r="L30" s="101">
        <v>1855</v>
      </c>
      <c r="M30" s="101">
        <v>1913</v>
      </c>
      <c r="N30" s="101">
        <v>1891</v>
      </c>
      <c r="O30" s="101">
        <v>1822</v>
      </c>
      <c r="P30" s="101">
        <v>1833</v>
      </c>
      <c r="Q30" s="101">
        <v>1855</v>
      </c>
      <c r="R30" s="101">
        <v>1881</v>
      </c>
      <c r="S30" s="101">
        <v>1882</v>
      </c>
      <c r="T30" s="101">
        <v>1976</v>
      </c>
      <c r="U30" s="101">
        <v>1890</v>
      </c>
      <c r="V30" s="101">
        <v>1820</v>
      </c>
      <c r="W30" s="101">
        <v>1950</v>
      </c>
      <c r="X30" s="101">
        <v>1707</v>
      </c>
      <c r="Y30" s="101">
        <v>1838</v>
      </c>
      <c r="Z30" s="101">
        <v>1758</v>
      </c>
      <c r="AA30" s="101">
        <v>1581</v>
      </c>
      <c r="AB30" s="101">
        <v>1667</v>
      </c>
      <c r="AC30" s="101">
        <v>1575</v>
      </c>
      <c r="AD30" s="101">
        <v>1646</v>
      </c>
      <c r="AE30" s="101">
        <v>1580</v>
      </c>
      <c r="AF30" s="101">
        <v>1473</v>
      </c>
      <c r="AG30" s="101">
        <v>1556</v>
      </c>
    </row>
    <row r="31" spans="1:33" ht="25.5">
      <c r="A31" s="101">
        <v>28</v>
      </c>
      <c r="B31" s="79" t="s">
        <v>70</v>
      </c>
      <c r="C31" s="101">
        <v>503</v>
      </c>
      <c r="D31" s="101">
        <v>482</v>
      </c>
      <c r="E31" s="101">
        <v>488</v>
      </c>
      <c r="F31" s="101">
        <v>497</v>
      </c>
      <c r="G31" s="101">
        <v>501</v>
      </c>
      <c r="H31" s="101">
        <v>494</v>
      </c>
      <c r="I31" s="101">
        <v>459</v>
      </c>
      <c r="J31" s="101">
        <v>431</v>
      </c>
      <c r="K31" s="101">
        <v>515</v>
      </c>
      <c r="L31" s="101">
        <v>482</v>
      </c>
      <c r="M31" s="101">
        <v>472</v>
      </c>
      <c r="N31" s="101">
        <v>467</v>
      </c>
      <c r="O31" s="101">
        <v>436</v>
      </c>
      <c r="P31" s="101">
        <v>451</v>
      </c>
      <c r="Q31" s="101">
        <v>459</v>
      </c>
      <c r="R31" s="101">
        <v>472</v>
      </c>
      <c r="S31" s="101">
        <v>439</v>
      </c>
      <c r="T31" s="101">
        <v>460</v>
      </c>
      <c r="U31" s="101">
        <v>434</v>
      </c>
      <c r="V31" s="101">
        <v>435</v>
      </c>
      <c r="W31" s="101">
        <v>458</v>
      </c>
      <c r="X31" s="101">
        <v>400</v>
      </c>
      <c r="Y31" s="101">
        <v>433</v>
      </c>
      <c r="Z31" s="101">
        <v>414</v>
      </c>
      <c r="AA31" s="101">
        <v>420</v>
      </c>
      <c r="AB31" s="101">
        <v>413</v>
      </c>
      <c r="AC31" s="101">
        <v>391</v>
      </c>
      <c r="AD31" s="101">
        <v>419</v>
      </c>
      <c r="AE31" s="101">
        <v>399</v>
      </c>
      <c r="AF31" s="101">
        <v>351</v>
      </c>
      <c r="AG31" s="101">
        <v>409</v>
      </c>
    </row>
    <row r="32" spans="1:33" ht="12.75">
      <c r="A32" s="101">
        <v>29</v>
      </c>
      <c r="B32" s="79" t="s">
        <v>71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15</v>
      </c>
    </row>
    <row r="34" spans="1:33" s="70" customFormat="1" ht="13.5" thickBot="1">
      <c r="A34" s="93" t="s">
        <v>75</v>
      </c>
      <c r="B34" s="93" t="s">
        <v>74</v>
      </c>
      <c r="C34" s="103">
        <v>38169</v>
      </c>
      <c r="D34" s="103">
        <v>38200</v>
      </c>
      <c r="E34" s="103">
        <v>38231</v>
      </c>
      <c r="F34" s="103">
        <v>38261</v>
      </c>
      <c r="G34" s="103">
        <v>38292</v>
      </c>
      <c r="H34" s="103">
        <v>38322</v>
      </c>
      <c r="I34" s="103">
        <v>38353</v>
      </c>
      <c r="J34" s="103">
        <v>38384</v>
      </c>
      <c r="K34" s="103">
        <v>38412</v>
      </c>
      <c r="L34" s="103">
        <v>38443</v>
      </c>
      <c r="M34" s="103">
        <v>38473</v>
      </c>
      <c r="N34" s="103">
        <v>38504</v>
      </c>
      <c r="O34" s="103">
        <v>38534</v>
      </c>
      <c r="P34" s="103">
        <v>38565</v>
      </c>
      <c r="Q34" s="103">
        <v>38596</v>
      </c>
      <c r="R34" s="103">
        <v>38626</v>
      </c>
      <c r="S34" s="103">
        <v>38657</v>
      </c>
      <c r="T34" s="103">
        <v>38687</v>
      </c>
      <c r="U34" s="103">
        <v>38718</v>
      </c>
      <c r="V34" s="103">
        <v>38749</v>
      </c>
      <c r="W34" s="103">
        <v>38777</v>
      </c>
      <c r="X34" s="103">
        <v>38808</v>
      </c>
      <c r="Y34" s="103">
        <v>38838</v>
      </c>
      <c r="Z34" s="103">
        <v>38869</v>
      </c>
      <c r="AA34" s="103">
        <v>38899</v>
      </c>
      <c r="AB34" s="103">
        <v>38930</v>
      </c>
      <c r="AC34" s="103">
        <v>38961</v>
      </c>
      <c r="AD34" s="103">
        <v>38991</v>
      </c>
      <c r="AE34" s="103">
        <v>39022</v>
      </c>
      <c r="AF34" s="103">
        <v>39052</v>
      </c>
      <c r="AG34" s="103">
        <v>39083</v>
      </c>
    </row>
    <row r="35" spans="1:33" ht="26.25" thickTop="1">
      <c r="A35">
        <v>1</v>
      </c>
      <c r="B35" s="91" t="s">
        <v>43</v>
      </c>
      <c r="C35" s="102">
        <f>VLOOKUP(1,$A$4:$AX$32,3,FALSE)</f>
        <v>0</v>
      </c>
      <c r="D35" s="102">
        <f>VLOOKUP(1,$A$4:$AX$32,4,FALSE)</f>
        <v>0</v>
      </c>
      <c r="E35" s="102">
        <f>VLOOKUP(1,$A$4:$AX$32,5,FALSE)</f>
        <v>0</v>
      </c>
      <c r="F35" s="102">
        <f>VLOOKUP(1,$A$4:$AX$32,6,FALSE)</f>
        <v>0</v>
      </c>
      <c r="G35" s="102">
        <f>VLOOKUP(1,$A$4:$AX$32,7,FALSE)</f>
        <v>0</v>
      </c>
      <c r="H35" s="102">
        <f>VLOOKUP(1,$A$4:$AX$32,8,FALSE)</f>
        <v>0</v>
      </c>
      <c r="I35" s="102">
        <f>VLOOKUP(1,$A$4:$AX$32,9,FALSE)</f>
        <v>0</v>
      </c>
      <c r="J35" s="102">
        <f>VLOOKUP(1,$A$4:$AX$32,10,FALSE)</f>
        <v>0</v>
      </c>
      <c r="K35" s="102">
        <f>VLOOKUP(1,$A$4:$AX$32,11,FALSE)</f>
        <v>0</v>
      </c>
      <c r="L35" s="102">
        <f>VLOOKUP(1,$A$4:$AX$32,12,FALSE)</f>
        <v>0</v>
      </c>
      <c r="M35" s="102">
        <f>VLOOKUP(1,$A$4:$AX$32,13,FALSE)</f>
        <v>0</v>
      </c>
      <c r="N35" s="102">
        <f>VLOOKUP(1,$A$4:$AX$32,14,FALSE)</f>
        <v>0</v>
      </c>
      <c r="O35" s="102">
        <f>VLOOKUP(1,$A$4:$AX$32,15,FALSE)</f>
        <v>0</v>
      </c>
      <c r="P35" s="102">
        <f>VLOOKUP(1,$A$4:$AX$32,16,FALSE)</f>
        <v>0</v>
      </c>
      <c r="Q35" s="102">
        <f>VLOOKUP(1,$A$4:$AX$32,17,FALSE)</f>
        <v>0</v>
      </c>
      <c r="R35" s="102">
        <f>VLOOKUP(1,$A$4:$AX$32,18,FALSE)</f>
        <v>0</v>
      </c>
      <c r="S35" s="102">
        <f>VLOOKUP(1,$A$4:$AX$32,19,FALSE)</f>
        <v>0</v>
      </c>
      <c r="T35" s="102">
        <f>VLOOKUP(1,$A$4:$AX$32,20,FALSE)</f>
        <v>2</v>
      </c>
      <c r="U35" s="102">
        <f>VLOOKUP(1,$A$4:$AX$32,21,FALSE)</f>
        <v>12</v>
      </c>
      <c r="V35" s="102">
        <f>VLOOKUP(1,$A$4:$AX$32,22,FALSE)</f>
        <v>15</v>
      </c>
      <c r="W35" s="102">
        <f>VLOOKUP(1,$A$4:$AX$32,23,FALSE)</f>
        <v>18</v>
      </c>
      <c r="X35" s="102">
        <f>VLOOKUP(1,$A$4:$AX$32,24,FALSE)</f>
        <v>34</v>
      </c>
      <c r="Y35" s="102">
        <f>VLOOKUP(1,$A$4:$AX$32,25,FALSE)</f>
        <v>35</v>
      </c>
      <c r="Z35" s="102">
        <f>VLOOKUP(1,$A$4:$AX$32,26,FALSE)</f>
        <v>41</v>
      </c>
      <c r="AA35" s="102">
        <f>VLOOKUP(1,$A$4:$AX$32,27,FALSE)</f>
        <v>42</v>
      </c>
      <c r="AB35" s="102">
        <f>VLOOKUP(1,$A$4:$AX$32,28,FALSE)</f>
        <v>49</v>
      </c>
      <c r="AC35" s="102">
        <f>VLOOKUP(1,$A$4:$AX$32,29,FALSE)</f>
        <v>48</v>
      </c>
      <c r="AD35" s="102">
        <f>VLOOKUP(1,$A$4:$AX$32,30,FALSE)</f>
        <v>58</v>
      </c>
      <c r="AE35" s="102">
        <f>VLOOKUP(1,$A$4:$AX$32,31,FALSE)</f>
        <v>63</v>
      </c>
      <c r="AF35" s="102">
        <f>VLOOKUP(1,$A$4:$AX$32,32,FALSE)</f>
        <v>48</v>
      </c>
      <c r="AG35" s="102">
        <f>VLOOKUP(1,$A$4:$AX$32,33,FALSE)</f>
        <v>49</v>
      </c>
    </row>
    <row r="36" spans="1:33" ht="25.5">
      <c r="A36">
        <v>2</v>
      </c>
      <c r="B36" s="77" t="s">
        <v>44</v>
      </c>
      <c r="C36" s="102">
        <f>VLOOKUP(2,$A$4:$AX$32,3,FALSE)</f>
        <v>3717</v>
      </c>
      <c r="D36" s="102">
        <f>VLOOKUP(2,$A$4:$AX$32,4,FALSE)</f>
        <v>3575</v>
      </c>
      <c r="E36" s="102">
        <f>VLOOKUP(2,$A$4:$AX$32,5,FALSE)</f>
        <v>3685</v>
      </c>
      <c r="F36" s="102">
        <f>VLOOKUP(2,$A$4:$AX$32,6,FALSE)</f>
        <v>3648</v>
      </c>
      <c r="G36" s="102">
        <f>VLOOKUP(2,$A$4:$AX$32,7,FALSE)</f>
        <v>3746</v>
      </c>
      <c r="H36" s="102">
        <f>VLOOKUP(2,$A$4:$AX$32,8,FALSE)</f>
        <v>3737</v>
      </c>
      <c r="I36" s="102">
        <f>VLOOKUP(2,$A$4:$AX$32,9,FALSE)</f>
        <v>3618</v>
      </c>
      <c r="J36" s="102">
        <f>VLOOKUP(2,$A$4:$AX$32,10,FALSE)</f>
        <v>3255</v>
      </c>
      <c r="K36" s="102">
        <f>VLOOKUP(2,$A$4:$AX$32,11,FALSE)</f>
        <v>3883</v>
      </c>
      <c r="L36" s="102">
        <f>VLOOKUP(2,$A$4:$AX$32,12,FALSE)</f>
        <v>3559</v>
      </c>
      <c r="M36" s="102">
        <f>VLOOKUP(2,$A$4:$AX$32,13,FALSE)</f>
        <v>3736</v>
      </c>
      <c r="N36" s="102">
        <f>VLOOKUP(2,$A$4:$AX$32,14,FALSE)</f>
        <v>3712</v>
      </c>
      <c r="O36" s="102">
        <f>VLOOKUP(2,$A$4:$AX$32,15,FALSE)</f>
        <v>3594</v>
      </c>
      <c r="P36" s="102">
        <f>VLOOKUP(2,$A$4:$AX$32,16,FALSE)</f>
        <v>3627</v>
      </c>
      <c r="Q36" s="102">
        <f>VLOOKUP(2,$A$4:$AX$32,17,FALSE)</f>
        <v>3592</v>
      </c>
      <c r="R36" s="102">
        <f>VLOOKUP(2,$A$4:$AX$32,18,FALSE)</f>
        <v>3611</v>
      </c>
      <c r="S36" s="102">
        <f>VLOOKUP(2,$A$4:$AX$32,19,FALSE)</f>
        <v>3685</v>
      </c>
      <c r="T36" s="102">
        <f>VLOOKUP(2,$A$4:$AX$32,20,FALSE)</f>
        <v>3732</v>
      </c>
      <c r="U36" s="102">
        <f>VLOOKUP(2,$A$4:$AX$32,21,FALSE)</f>
        <v>3659</v>
      </c>
      <c r="V36" s="102">
        <f>VLOOKUP(2,$A$4:$AX$32,22,FALSE)</f>
        <v>3553</v>
      </c>
      <c r="W36" s="102">
        <f>VLOOKUP(2,$A$4:$AX$32,23,FALSE)</f>
        <v>3772</v>
      </c>
      <c r="X36" s="102">
        <f>VLOOKUP(2,$A$4:$AX$32,24,FALSE)</f>
        <v>3362</v>
      </c>
      <c r="Y36" s="102">
        <f>VLOOKUP(2,$A$4:$AX$32,25,FALSE)</f>
        <v>3697</v>
      </c>
      <c r="Z36" s="102">
        <f>VLOOKUP(2,$A$4:$AX$32,26,FALSE)</f>
        <v>3616</v>
      </c>
      <c r="AA36" s="102">
        <f>VLOOKUP(2,$A$4:$AX$32,27,FALSE)</f>
        <v>3386</v>
      </c>
      <c r="AB36" s="102">
        <f>VLOOKUP(2,$A$4:$AX$32,28,FALSE)</f>
        <v>3488</v>
      </c>
      <c r="AC36" s="102">
        <f>VLOOKUP(2,$A$4:$AX$32,29,FALSE)</f>
        <v>3387</v>
      </c>
      <c r="AD36" s="102">
        <f>VLOOKUP(2,$A$4:$AX$32,30,FALSE)</f>
        <v>3581</v>
      </c>
      <c r="AE36" s="102">
        <f>VLOOKUP(2,$A$4:$AX$32,31,FALSE)</f>
        <v>3430</v>
      </c>
      <c r="AF36" s="102">
        <f>VLOOKUP(2,$A$4:$AX$32,32,FALSE)</f>
        <v>3343</v>
      </c>
      <c r="AG36" s="102">
        <f>VLOOKUP(2,$A$4:$AX$32,33,FALSE)</f>
        <v>3588</v>
      </c>
    </row>
    <row r="37" spans="1:33" ht="25.5">
      <c r="A37">
        <v>3</v>
      </c>
      <c r="B37" s="77" t="s">
        <v>45</v>
      </c>
      <c r="C37" s="102">
        <f>VLOOKUP(3,$A$4:$AX$32,3,FALSE)</f>
        <v>585</v>
      </c>
      <c r="D37" s="102">
        <f>VLOOKUP(3,$A$4:$AX$32,4,FALSE)</f>
        <v>570</v>
      </c>
      <c r="E37" s="102">
        <f>VLOOKUP(3,$A$4:$AX$32,5,FALSE)</f>
        <v>593</v>
      </c>
      <c r="F37" s="102">
        <f>VLOOKUP(3,$A$4:$AX$32,6,FALSE)</f>
        <v>592</v>
      </c>
      <c r="G37" s="102">
        <f>VLOOKUP(3,$A$4:$AX$32,7,FALSE)</f>
        <v>611</v>
      </c>
      <c r="H37" s="102">
        <f>VLOOKUP(3,$A$4:$AX$32,8,FALSE)</f>
        <v>656</v>
      </c>
      <c r="I37" s="102">
        <f>VLOOKUP(3,$A$4:$AX$32,9,FALSE)</f>
        <v>641</v>
      </c>
      <c r="J37" s="102">
        <f>VLOOKUP(3,$A$4:$AX$32,10,FALSE)</f>
        <v>602</v>
      </c>
      <c r="K37" s="102">
        <f>VLOOKUP(3,$A$4:$AX$32,11,FALSE)</f>
        <v>699</v>
      </c>
      <c r="L37" s="102">
        <f>VLOOKUP(3,$A$4:$AX$32,12,FALSE)</f>
        <v>655</v>
      </c>
      <c r="M37" s="102">
        <f>VLOOKUP(3,$A$4:$AX$32,13,FALSE)</f>
        <v>719</v>
      </c>
      <c r="N37" s="102">
        <f>VLOOKUP(3,$A$4:$AX$32,14,FALSE)</f>
        <v>682</v>
      </c>
      <c r="O37" s="102">
        <f>VLOOKUP(3,$A$4:$AX$32,15,FALSE)</f>
        <v>681</v>
      </c>
      <c r="P37" s="102">
        <f>VLOOKUP(3,$A$4:$AX$32,16,FALSE)</f>
        <v>706</v>
      </c>
      <c r="Q37" s="102">
        <f>VLOOKUP(3,$A$4:$AX$32,17,FALSE)</f>
        <v>696</v>
      </c>
      <c r="R37" s="102">
        <f>VLOOKUP(3,$A$4:$AX$32,18,FALSE)</f>
        <v>693</v>
      </c>
      <c r="S37" s="102">
        <f>VLOOKUP(3,$A$4:$AX$32,19,FALSE)</f>
        <v>708</v>
      </c>
      <c r="T37" s="102">
        <f>VLOOKUP(3,$A$4:$AX$32,20,FALSE)</f>
        <v>721</v>
      </c>
      <c r="U37" s="102">
        <f>VLOOKUP(3,$A$4:$AX$32,21,FALSE)</f>
        <v>682</v>
      </c>
      <c r="V37" s="102">
        <f>VLOOKUP(3,$A$4:$AX$32,22,FALSE)</f>
        <v>701</v>
      </c>
      <c r="W37" s="102">
        <f>VLOOKUP(3,$A$4:$AX$32,23,FALSE)</f>
        <v>722</v>
      </c>
      <c r="X37" s="102">
        <f>VLOOKUP(3,$A$4:$AX$32,24,FALSE)</f>
        <v>653</v>
      </c>
      <c r="Y37" s="102">
        <f>VLOOKUP(3,$A$4:$AX$32,25,FALSE)</f>
        <v>687</v>
      </c>
      <c r="Z37" s="102">
        <f>VLOOKUP(3,$A$4:$AX$32,26,FALSE)</f>
        <v>680</v>
      </c>
      <c r="AA37" s="102">
        <f>VLOOKUP(3,$A$4:$AX$32,27,FALSE)</f>
        <v>635</v>
      </c>
      <c r="AB37" s="102">
        <f>VLOOKUP(3,$A$4:$AX$32,28,FALSE)</f>
        <v>650</v>
      </c>
      <c r="AC37" s="102">
        <f>VLOOKUP(3,$A$4:$AX$32,29,FALSE)</f>
        <v>627</v>
      </c>
      <c r="AD37" s="102">
        <f>VLOOKUP(3,$A$4:$AX$32,30,FALSE)</f>
        <v>658</v>
      </c>
      <c r="AE37" s="102">
        <f>VLOOKUP(3,$A$4:$AX$32,31,FALSE)</f>
        <v>650</v>
      </c>
      <c r="AF37" s="102">
        <f>VLOOKUP(3,$A$4:$AX$32,32,FALSE)</f>
        <v>618</v>
      </c>
      <c r="AG37" s="102">
        <f>VLOOKUP(3,$A$4:$AX$32,33,FALSE)</f>
        <v>668</v>
      </c>
    </row>
    <row r="38" spans="1:33" ht="25.5">
      <c r="A38">
        <v>4</v>
      </c>
      <c r="B38" s="77" t="s">
        <v>46</v>
      </c>
      <c r="C38" s="102">
        <f>VLOOKUP(4,$A$4:$AX$32,3,FALSE)</f>
        <v>0</v>
      </c>
      <c r="D38" s="102">
        <f>VLOOKUP(4,$A$4:$AX$32,4,FALSE)</f>
        <v>0</v>
      </c>
      <c r="E38" s="102">
        <f>VLOOKUP(4,$A$4:$AX$32,5,FALSE)</f>
        <v>0</v>
      </c>
      <c r="F38" s="102">
        <f>VLOOKUP(4,$A$4:$AX$32,6,FALSE)</f>
        <v>0</v>
      </c>
      <c r="G38" s="102">
        <f>VLOOKUP(4,$A$4:$AX$32,7,FALSE)</f>
        <v>0</v>
      </c>
      <c r="H38" s="102">
        <f>VLOOKUP(4,$A$4:$AX$32,8,FALSE)</f>
        <v>0</v>
      </c>
      <c r="I38" s="102">
        <f>VLOOKUP(4,$A$4:$AX$32,9,FALSE)</f>
        <v>0</v>
      </c>
      <c r="J38" s="102">
        <f>VLOOKUP(4,$A$4:$AX$32,10,FALSE)</f>
        <v>0</v>
      </c>
      <c r="K38" s="102">
        <f>VLOOKUP(4,$A$4:$AX$32,11,FALSE)</f>
        <v>0</v>
      </c>
      <c r="L38" s="102">
        <f>VLOOKUP(4,$A$4:$AX$32,12,FALSE)</f>
        <v>0</v>
      </c>
      <c r="M38" s="102">
        <f>VLOOKUP(4,$A$4:$AX$32,13,FALSE)</f>
        <v>0</v>
      </c>
      <c r="N38" s="102">
        <f>VLOOKUP(4,$A$4:$AX$32,14,FALSE)</f>
        <v>0</v>
      </c>
      <c r="O38" s="102">
        <f>VLOOKUP(4,$A$4:$AX$32,15,FALSE)</f>
        <v>0</v>
      </c>
      <c r="P38" s="102">
        <f>VLOOKUP(4,$A$4:$AX$32,16,FALSE)</f>
        <v>0</v>
      </c>
      <c r="Q38" s="102">
        <f>VLOOKUP(4,$A$4:$AX$32,17,FALSE)</f>
        <v>0</v>
      </c>
      <c r="R38" s="102">
        <f>VLOOKUP(4,$A$4:$AX$32,18,FALSE)</f>
        <v>0</v>
      </c>
      <c r="S38" s="102">
        <f>VLOOKUP(4,$A$4:$AX$32,19,FALSE)</f>
        <v>0</v>
      </c>
      <c r="T38" s="102">
        <f>VLOOKUP(4,$A$4:$AX$32,20,FALSE)</f>
        <v>0</v>
      </c>
      <c r="U38" s="102">
        <f>VLOOKUP(4,$A$4:$AX$32,21,FALSE)</f>
        <v>0</v>
      </c>
      <c r="V38" s="102">
        <f>VLOOKUP(4,$A$4:$AX$32,22,FALSE)</f>
        <v>0</v>
      </c>
      <c r="W38" s="102">
        <f>VLOOKUP(4,$A$4:$AX$32,23,FALSE)</f>
        <v>0</v>
      </c>
      <c r="X38" s="102">
        <f>VLOOKUP(4,$A$4:$AX$32,24,FALSE)</f>
        <v>0</v>
      </c>
      <c r="Y38" s="102">
        <f>VLOOKUP(4,$A$4:$AX$32,25,FALSE)</f>
        <v>0</v>
      </c>
      <c r="Z38" s="102">
        <f>VLOOKUP(4,$A$4:$AX$32,26,FALSE)</f>
        <v>0</v>
      </c>
      <c r="AA38" s="102">
        <f>VLOOKUP(4,$A$4:$AX$32,27,FALSE)</f>
        <v>0</v>
      </c>
      <c r="AB38" s="102">
        <f>VLOOKUP(4,$A$4:$AX$32,28,FALSE)</f>
        <v>0</v>
      </c>
      <c r="AC38" s="102">
        <f>VLOOKUP(4,$A$4:$AX$32,29,FALSE)</f>
        <v>0</v>
      </c>
      <c r="AD38" s="102">
        <f>VLOOKUP(4,$A$4:$AX$32,30,FALSE)</f>
        <v>5</v>
      </c>
      <c r="AE38" s="102">
        <f>VLOOKUP(4,$A$4:$AX$32,31,FALSE)</f>
        <v>7</v>
      </c>
      <c r="AF38" s="102">
        <f>VLOOKUP(4,$A$4:$AX$32,32,FALSE)</f>
        <v>14</v>
      </c>
      <c r="AG38" s="102">
        <f>VLOOKUP(4,$A$4:$AX$32,33,FALSE)</f>
        <v>22</v>
      </c>
    </row>
    <row r="39" spans="1:33" ht="25.5">
      <c r="A39">
        <v>5</v>
      </c>
      <c r="B39" s="77" t="s">
        <v>47</v>
      </c>
      <c r="C39" s="102">
        <f>VLOOKUP(5,$A$4:$AX$32,3,FALSE)</f>
        <v>4236</v>
      </c>
      <c r="D39" s="102">
        <f>VLOOKUP(5,$A$4:$AX$32,4,FALSE)</f>
        <v>4048</v>
      </c>
      <c r="E39" s="102">
        <f>VLOOKUP(5,$A$4:$AX$32,5,FALSE)</f>
        <v>4198</v>
      </c>
      <c r="F39" s="102">
        <f>VLOOKUP(5,$A$4:$AX$32,6,FALSE)</f>
        <v>4160</v>
      </c>
      <c r="G39" s="102">
        <f>VLOOKUP(5,$A$4:$AX$32,7,FALSE)</f>
        <v>4277</v>
      </c>
      <c r="H39" s="102">
        <f>VLOOKUP(5,$A$4:$AX$32,8,FALSE)</f>
        <v>4307</v>
      </c>
      <c r="I39" s="102">
        <f>VLOOKUP(5,$A$4:$AX$32,9,FALSE)</f>
        <v>4099</v>
      </c>
      <c r="J39" s="102">
        <f>VLOOKUP(5,$A$4:$AX$32,10,FALSE)</f>
        <v>3802</v>
      </c>
      <c r="K39" s="102">
        <f>VLOOKUP(5,$A$4:$AX$32,11,FALSE)</f>
        <v>4434</v>
      </c>
      <c r="L39" s="102">
        <f>VLOOKUP(5,$A$4:$AX$32,12,FALSE)</f>
        <v>4156</v>
      </c>
      <c r="M39" s="102">
        <f>VLOOKUP(5,$A$4:$AX$32,13,FALSE)</f>
        <v>4235</v>
      </c>
      <c r="N39" s="102">
        <f>VLOOKUP(5,$A$4:$AX$32,14,FALSE)</f>
        <v>4131</v>
      </c>
      <c r="O39" s="102">
        <f>VLOOKUP(5,$A$4:$AX$32,15,FALSE)</f>
        <v>4012</v>
      </c>
      <c r="P39" s="102">
        <f>VLOOKUP(5,$A$4:$AX$32,16,FALSE)</f>
        <v>3994</v>
      </c>
      <c r="Q39" s="102">
        <f>VLOOKUP(5,$A$4:$AX$32,17,FALSE)</f>
        <v>3942</v>
      </c>
      <c r="R39" s="102">
        <f>VLOOKUP(5,$A$4:$AX$32,18,FALSE)</f>
        <v>3891</v>
      </c>
      <c r="S39" s="102">
        <f>VLOOKUP(5,$A$4:$AX$32,19,FALSE)</f>
        <v>3935</v>
      </c>
      <c r="T39" s="102">
        <f>VLOOKUP(5,$A$4:$AX$32,20,FALSE)</f>
        <v>3952</v>
      </c>
      <c r="U39" s="102">
        <f>VLOOKUP(5,$A$4:$AX$32,21,FALSE)</f>
        <v>3850</v>
      </c>
      <c r="V39" s="102">
        <f>VLOOKUP(5,$A$4:$AX$32,22,FALSE)</f>
        <v>3754</v>
      </c>
      <c r="W39" s="102">
        <f>VLOOKUP(5,$A$4:$AX$32,23,FALSE)</f>
        <v>3895</v>
      </c>
      <c r="X39" s="102">
        <f>VLOOKUP(5,$A$4:$AX$32,24,FALSE)</f>
        <v>3613</v>
      </c>
      <c r="Y39" s="102">
        <f>VLOOKUP(5,$A$4:$AX$32,25,FALSE)</f>
        <v>3837</v>
      </c>
      <c r="Z39" s="102">
        <f>VLOOKUP(5,$A$4:$AX$32,26,FALSE)</f>
        <v>3742</v>
      </c>
      <c r="AA39" s="102">
        <f>VLOOKUP(5,$A$4:$AX$32,27,FALSE)</f>
        <v>3625</v>
      </c>
      <c r="AB39" s="102">
        <f>VLOOKUP(5,$A$4:$AX$32,28,FALSE)</f>
        <v>3686</v>
      </c>
      <c r="AC39" s="102">
        <f>VLOOKUP(5,$A$4:$AX$32,29,FALSE)</f>
        <v>3457</v>
      </c>
      <c r="AD39" s="102">
        <f>VLOOKUP(5,$A$4:$AX$32,30,FALSE)</f>
        <v>3714</v>
      </c>
      <c r="AE39" s="102">
        <f>VLOOKUP(5,$A$4:$AX$32,31,FALSE)</f>
        <v>3612</v>
      </c>
      <c r="AF39" s="102">
        <f>VLOOKUP(5,$A$4:$AX$32,32,FALSE)</f>
        <v>3399</v>
      </c>
      <c r="AG39" s="102">
        <f>VLOOKUP(5,$A$4:$AX$32,33,FALSE)</f>
        <v>3759</v>
      </c>
    </row>
    <row r="40" spans="1:33" ht="25.5">
      <c r="A40">
        <v>6</v>
      </c>
      <c r="B40" s="77" t="s">
        <v>48</v>
      </c>
      <c r="C40" s="102">
        <f>VLOOKUP(6,$A$4:$AX$32,3,FALSE)</f>
        <v>1488</v>
      </c>
      <c r="D40" s="102">
        <f>VLOOKUP(6,$A$4:$AX$32,4,FALSE)</f>
        <v>1445</v>
      </c>
      <c r="E40" s="102">
        <f>VLOOKUP(6,$A$4:$AX$32,5,FALSE)</f>
        <v>1544</v>
      </c>
      <c r="F40" s="102">
        <f>VLOOKUP(6,$A$4:$AX$32,6,FALSE)</f>
        <v>1519</v>
      </c>
      <c r="G40" s="102">
        <f>VLOOKUP(6,$A$4:$AX$32,7,FALSE)</f>
        <v>1539</v>
      </c>
      <c r="H40" s="102">
        <f>VLOOKUP(6,$A$4:$AX$32,8,FALSE)</f>
        <v>1583</v>
      </c>
      <c r="I40" s="102">
        <f>VLOOKUP(6,$A$4:$AX$32,9,FALSE)</f>
        <v>1567</v>
      </c>
      <c r="J40" s="102">
        <f>VLOOKUP(6,$A$4:$AX$32,10,FALSE)</f>
        <v>1419</v>
      </c>
      <c r="K40" s="102">
        <f>VLOOKUP(6,$A$4:$AX$32,11,FALSE)</f>
        <v>1695</v>
      </c>
      <c r="L40" s="102">
        <f>VLOOKUP(6,$A$4:$AX$32,12,FALSE)</f>
        <v>1588</v>
      </c>
      <c r="M40" s="102">
        <f>VLOOKUP(6,$A$4:$AX$32,13,FALSE)</f>
        <v>1610</v>
      </c>
      <c r="N40" s="102">
        <f>VLOOKUP(6,$A$4:$AX$32,14,FALSE)</f>
        <v>1554</v>
      </c>
      <c r="O40" s="102">
        <f>VLOOKUP(6,$A$4:$AX$32,15,FALSE)</f>
        <v>1516</v>
      </c>
      <c r="P40" s="102">
        <f>VLOOKUP(6,$A$4:$AX$32,16,FALSE)</f>
        <v>1485</v>
      </c>
      <c r="Q40" s="102">
        <f>VLOOKUP(6,$A$4:$AX$32,17,FALSE)</f>
        <v>1527</v>
      </c>
      <c r="R40" s="102">
        <f>VLOOKUP(6,$A$4:$AX$32,18,FALSE)</f>
        <v>1508</v>
      </c>
      <c r="S40" s="102">
        <f>VLOOKUP(6,$A$4:$AX$32,19,FALSE)</f>
        <v>1499</v>
      </c>
      <c r="T40" s="102">
        <f>VLOOKUP(6,$A$4:$AX$32,20,FALSE)</f>
        <v>1514</v>
      </c>
      <c r="U40" s="102">
        <f>VLOOKUP(6,$A$4:$AX$32,21,FALSE)</f>
        <v>1464</v>
      </c>
      <c r="V40" s="102">
        <f>VLOOKUP(6,$A$4:$AX$32,22,FALSE)</f>
        <v>1466</v>
      </c>
      <c r="W40" s="102">
        <f>VLOOKUP(6,$A$4:$AX$32,23,FALSE)</f>
        <v>1520</v>
      </c>
      <c r="X40" s="102">
        <f>VLOOKUP(6,$A$4:$AX$32,24,FALSE)</f>
        <v>1435</v>
      </c>
      <c r="Y40" s="102">
        <f>VLOOKUP(6,$A$4:$AX$32,25,FALSE)</f>
        <v>1542</v>
      </c>
      <c r="Z40" s="102">
        <f>VLOOKUP(6,$A$4:$AX$32,26,FALSE)</f>
        <v>1472</v>
      </c>
      <c r="AA40" s="102">
        <f>VLOOKUP(6,$A$4:$AX$32,27,FALSE)</f>
        <v>1371</v>
      </c>
      <c r="AB40" s="102">
        <f>VLOOKUP(6,$A$4:$AX$32,28,FALSE)</f>
        <v>1450</v>
      </c>
      <c r="AC40" s="102">
        <f>VLOOKUP(6,$A$4:$AX$32,29,FALSE)</f>
        <v>1348</v>
      </c>
      <c r="AD40" s="102">
        <f>VLOOKUP(6,$A$4:$AX$32,30,FALSE)</f>
        <v>1448</v>
      </c>
      <c r="AE40" s="102">
        <f>VLOOKUP(6,$A$4:$AX$32,31,FALSE)</f>
        <v>1410</v>
      </c>
      <c r="AF40" s="102">
        <f>VLOOKUP(6,$A$4:$AX$32,32,FALSE)</f>
        <v>1336</v>
      </c>
      <c r="AG40" s="102">
        <f>VLOOKUP(6,$A$4:$AX$32,33,FALSE)</f>
        <v>1414</v>
      </c>
    </row>
    <row r="41" spans="1:33" ht="12.75">
      <c r="A41">
        <v>7</v>
      </c>
      <c r="B41" s="77" t="s">
        <v>49</v>
      </c>
      <c r="C41" s="102">
        <f>VLOOKUP(7,$A$4:$AX$32,3,FALSE)</f>
        <v>0</v>
      </c>
      <c r="D41" s="102">
        <f>VLOOKUP(7,$A$4:$AX$32,4,FALSE)</f>
        <v>0</v>
      </c>
      <c r="E41" s="102">
        <f>VLOOKUP(7,$A$4:$AX$32,5,FALSE)</f>
        <v>0</v>
      </c>
      <c r="F41" s="102">
        <f>VLOOKUP(7,$A$4:$AX$32,6,FALSE)</f>
        <v>0</v>
      </c>
      <c r="G41" s="102">
        <f>VLOOKUP(7,$A$4:$AX$32,7,FALSE)</f>
        <v>0</v>
      </c>
      <c r="H41" s="102">
        <f>VLOOKUP(7,$A$4:$AX$32,8,FALSE)</f>
        <v>0</v>
      </c>
      <c r="I41" s="102">
        <f>VLOOKUP(7,$A$4:$AX$32,9,FALSE)</f>
        <v>0</v>
      </c>
      <c r="J41" s="102">
        <f>VLOOKUP(7,$A$4:$AX$32,10,FALSE)</f>
        <v>0</v>
      </c>
      <c r="K41" s="102">
        <f>VLOOKUP(7,$A$4:$AX$32,11,FALSE)</f>
        <v>0</v>
      </c>
      <c r="L41" s="102">
        <f>VLOOKUP(7,$A$4:$AX$32,12,FALSE)</f>
        <v>0</v>
      </c>
      <c r="M41" s="102">
        <f>VLOOKUP(7,$A$4:$AX$32,13,FALSE)</f>
        <v>0</v>
      </c>
      <c r="N41" s="102">
        <f>VLOOKUP(7,$A$4:$AX$32,14,FALSE)</f>
        <v>0</v>
      </c>
      <c r="O41" s="102">
        <f>VLOOKUP(7,$A$4:$AX$32,15,FALSE)</f>
        <v>0</v>
      </c>
      <c r="P41" s="102">
        <f>VLOOKUP(7,$A$4:$AX$32,16,FALSE)</f>
        <v>0</v>
      </c>
      <c r="Q41" s="102">
        <f>VLOOKUP(7,$A$4:$AX$32,17,FALSE)</f>
        <v>0</v>
      </c>
      <c r="R41" s="102">
        <f>VLOOKUP(7,$A$4:$AX$32,18,FALSE)</f>
        <v>0</v>
      </c>
      <c r="S41" s="102">
        <f>VLOOKUP(7,$A$4:$AX$32,19,FALSE)</f>
        <v>0</v>
      </c>
      <c r="T41" s="102">
        <f>VLOOKUP(7,$A$4:$AX$32,20,FALSE)</f>
        <v>0</v>
      </c>
      <c r="U41" s="102">
        <f>VLOOKUP(7,$A$4:$AX$32,21,FALSE)</f>
        <v>0</v>
      </c>
      <c r="V41" s="102">
        <f>VLOOKUP(7,$A$4:$AX$32,22,FALSE)</f>
        <v>0</v>
      </c>
      <c r="W41" s="102">
        <f>VLOOKUP(7,$A$4:$AX$32,23,FALSE)</f>
        <v>0</v>
      </c>
      <c r="X41" s="102">
        <f>VLOOKUP(7,$A$4:$AX$32,24,FALSE)</f>
        <v>0</v>
      </c>
      <c r="Y41" s="102">
        <f>VLOOKUP(7,$A$4:$AX$32,25,FALSE)</f>
        <v>0</v>
      </c>
      <c r="Z41" s="102">
        <f>VLOOKUP(7,$A$4:$AX$32,26,FALSE)</f>
        <v>38</v>
      </c>
      <c r="AA41" s="102">
        <f>VLOOKUP(7,$A$4:$AX$32,27,FALSE)</f>
        <v>84</v>
      </c>
      <c r="AB41" s="102">
        <f>VLOOKUP(7,$A$4:$AX$32,28,FALSE)</f>
        <v>102</v>
      </c>
      <c r="AC41" s="102">
        <f>VLOOKUP(7,$A$4:$AX$32,29,FALSE)</f>
        <v>131</v>
      </c>
      <c r="AD41" s="102">
        <f>VLOOKUP(7,$A$4:$AX$32,30,FALSE)</f>
        <v>215</v>
      </c>
      <c r="AE41" s="102">
        <f>VLOOKUP(7,$A$4:$AX$32,31,FALSE)</f>
        <v>237</v>
      </c>
      <c r="AF41" s="102">
        <f>VLOOKUP(7,$A$4:$AX$32,32,FALSE)</f>
        <v>263</v>
      </c>
      <c r="AG41" s="102">
        <f>VLOOKUP(7,$A$4:$AX$32,33,FALSE)</f>
        <v>279</v>
      </c>
    </row>
    <row r="42" spans="1:33" ht="25.5">
      <c r="A42">
        <v>8</v>
      </c>
      <c r="B42" s="77" t="s">
        <v>50</v>
      </c>
      <c r="C42" s="102">
        <f>VLOOKUP(8,$A$4:$AX$32,3,FALSE)</f>
        <v>304</v>
      </c>
      <c r="D42" s="102">
        <f>VLOOKUP(8,$A$4:$AX$32,4,FALSE)</f>
        <v>291</v>
      </c>
      <c r="E42" s="102">
        <f>VLOOKUP(8,$A$4:$AX$32,5,FALSE)</f>
        <v>307</v>
      </c>
      <c r="F42" s="102">
        <f>VLOOKUP(8,$A$4:$AX$32,6,FALSE)</f>
        <v>303</v>
      </c>
      <c r="G42" s="102">
        <f>VLOOKUP(8,$A$4:$AX$32,7,FALSE)</f>
        <v>298</v>
      </c>
      <c r="H42" s="102">
        <f>VLOOKUP(8,$A$4:$AX$32,8,FALSE)</f>
        <v>294</v>
      </c>
      <c r="I42" s="102">
        <f>VLOOKUP(8,$A$4:$AX$32,9,FALSE)</f>
        <v>284</v>
      </c>
      <c r="J42" s="102">
        <f>VLOOKUP(8,$A$4:$AX$32,10,FALSE)</f>
        <v>243</v>
      </c>
      <c r="K42" s="102">
        <f>VLOOKUP(8,$A$4:$AX$32,11,FALSE)</f>
        <v>314</v>
      </c>
      <c r="L42" s="102">
        <f>VLOOKUP(8,$A$4:$AX$32,12,FALSE)</f>
        <v>286</v>
      </c>
      <c r="M42" s="102">
        <f>VLOOKUP(8,$A$4:$AX$32,13,FALSE)</f>
        <v>300</v>
      </c>
      <c r="N42" s="102">
        <f>VLOOKUP(8,$A$4:$AX$32,14,FALSE)</f>
        <v>308</v>
      </c>
      <c r="O42" s="102">
        <f>VLOOKUP(8,$A$4:$AX$32,15,FALSE)</f>
        <v>291</v>
      </c>
      <c r="P42" s="102">
        <f>VLOOKUP(8,$A$4:$AX$32,16,FALSE)</f>
        <v>289</v>
      </c>
      <c r="Q42" s="102">
        <f>VLOOKUP(8,$A$4:$AX$32,17,FALSE)</f>
        <v>300</v>
      </c>
      <c r="R42" s="102">
        <f>VLOOKUP(8,$A$4:$AX$32,18,FALSE)</f>
        <v>306</v>
      </c>
      <c r="S42" s="102">
        <f>VLOOKUP(8,$A$4:$AX$32,19,FALSE)</f>
        <v>310</v>
      </c>
      <c r="T42" s="102">
        <f>VLOOKUP(8,$A$4:$AX$32,20,FALSE)</f>
        <v>318</v>
      </c>
      <c r="U42" s="102">
        <f>VLOOKUP(8,$A$4:$AX$32,21,FALSE)</f>
        <v>311</v>
      </c>
      <c r="V42" s="102">
        <f>VLOOKUP(8,$A$4:$AX$32,22,FALSE)</f>
        <v>302</v>
      </c>
      <c r="W42" s="102">
        <f>VLOOKUP(8,$A$4:$AX$32,23,FALSE)</f>
        <v>331</v>
      </c>
      <c r="X42" s="102">
        <f>VLOOKUP(8,$A$4:$AX$32,24,FALSE)</f>
        <v>302</v>
      </c>
      <c r="Y42" s="102">
        <f>VLOOKUP(8,$A$4:$AX$32,25,FALSE)</f>
        <v>320</v>
      </c>
      <c r="Z42" s="102">
        <f>VLOOKUP(8,$A$4:$AX$32,26,FALSE)</f>
        <v>315</v>
      </c>
      <c r="AA42" s="102">
        <f>VLOOKUP(8,$A$4:$AX$32,27,FALSE)</f>
        <v>287</v>
      </c>
      <c r="AB42" s="102">
        <f>VLOOKUP(8,$A$4:$AX$32,28,FALSE)</f>
        <v>297</v>
      </c>
      <c r="AC42" s="102">
        <f>VLOOKUP(8,$A$4:$AX$32,29,FALSE)</f>
        <v>281</v>
      </c>
      <c r="AD42" s="102">
        <f>VLOOKUP(8,$A$4:$AX$32,30,FALSE)</f>
        <v>317</v>
      </c>
      <c r="AE42" s="102">
        <f>VLOOKUP(8,$A$4:$AX$32,31,FALSE)</f>
        <v>301</v>
      </c>
      <c r="AF42" s="102">
        <f>VLOOKUP(8,$A$4:$AX$32,32,FALSE)</f>
        <v>281</v>
      </c>
      <c r="AG42" s="102">
        <f>VLOOKUP(8,$A$4:$AX$32,33,FALSE)</f>
        <v>303</v>
      </c>
    </row>
    <row r="43" spans="1:33" ht="25.5">
      <c r="A43">
        <v>9</v>
      </c>
      <c r="B43" s="77" t="s">
        <v>51</v>
      </c>
      <c r="C43" s="102">
        <f>VLOOKUP(9,$A$4:$AX$32,3,FALSE)</f>
        <v>538</v>
      </c>
      <c r="D43" s="102">
        <f>VLOOKUP(9,$A$4:$AX$32,4,FALSE)</f>
        <v>530</v>
      </c>
      <c r="E43" s="102">
        <f>VLOOKUP(9,$A$4:$AX$32,5,FALSE)</f>
        <v>554</v>
      </c>
      <c r="F43" s="102">
        <f>VLOOKUP(9,$A$4:$AX$32,6,FALSE)</f>
        <v>547</v>
      </c>
      <c r="G43" s="102">
        <f>VLOOKUP(9,$A$4:$AX$32,7,FALSE)</f>
        <v>594</v>
      </c>
      <c r="H43" s="102">
        <f>VLOOKUP(9,$A$4:$AX$32,8,FALSE)</f>
        <v>577</v>
      </c>
      <c r="I43" s="102">
        <f>VLOOKUP(9,$A$4:$AX$32,9,FALSE)</f>
        <v>555</v>
      </c>
      <c r="J43" s="102">
        <f>VLOOKUP(9,$A$4:$AX$32,10,FALSE)</f>
        <v>516</v>
      </c>
      <c r="K43" s="102">
        <f>VLOOKUP(9,$A$4:$AX$32,11,FALSE)</f>
        <v>599</v>
      </c>
      <c r="L43" s="102">
        <f>VLOOKUP(9,$A$4:$AX$32,12,FALSE)</f>
        <v>554</v>
      </c>
      <c r="M43" s="102">
        <f>VLOOKUP(9,$A$4:$AX$32,13,FALSE)</f>
        <v>573</v>
      </c>
      <c r="N43" s="102">
        <f>VLOOKUP(9,$A$4:$AX$32,14,FALSE)</f>
        <v>563</v>
      </c>
      <c r="O43" s="102">
        <f>VLOOKUP(9,$A$4:$AX$32,15,FALSE)</f>
        <v>546</v>
      </c>
      <c r="P43" s="102">
        <f>VLOOKUP(9,$A$4:$AX$32,16,FALSE)</f>
        <v>540</v>
      </c>
      <c r="Q43" s="102">
        <f>VLOOKUP(9,$A$4:$AX$32,17,FALSE)</f>
        <v>534</v>
      </c>
      <c r="R43" s="102">
        <f>VLOOKUP(9,$A$4:$AX$32,18,FALSE)</f>
        <v>539</v>
      </c>
      <c r="S43" s="102">
        <f>VLOOKUP(9,$A$4:$AX$32,19,FALSE)</f>
        <v>537</v>
      </c>
      <c r="T43" s="102">
        <f>VLOOKUP(9,$A$4:$AX$32,20,FALSE)</f>
        <v>545</v>
      </c>
      <c r="U43" s="102">
        <f>VLOOKUP(9,$A$4:$AX$32,21,FALSE)</f>
        <v>510</v>
      </c>
      <c r="V43" s="102">
        <f>VLOOKUP(9,$A$4:$AX$32,22,FALSE)</f>
        <v>512</v>
      </c>
      <c r="W43" s="102">
        <f>VLOOKUP(9,$A$4:$AX$32,23,FALSE)</f>
        <v>543</v>
      </c>
      <c r="X43" s="102">
        <f>VLOOKUP(9,$A$4:$AX$32,24,FALSE)</f>
        <v>501</v>
      </c>
      <c r="Y43" s="102">
        <f>VLOOKUP(9,$A$4:$AX$32,25,FALSE)</f>
        <v>519</v>
      </c>
      <c r="Z43" s="102">
        <f>VLOOKUP(9,$A$4:$AX$32,26,FALSE)</f>
        <v>522</v>
      </c>
      <c r="AA43" s="102">
        <f>VLOOKUP(9,$A$4:$AX$32,27,FALSE)</f>
        <v>499</v>
      </c>
      <c r="AB43" s="102">
        <f>VLOOKUP(9,$A$4:$AX$32,28,FALSE)</f>
        <v>501</v>
      </c>
      <c r="AC43" s="102">
        <f>VLOOKUP(9,$A$4:$AX$32,29,FALSE)</f>
        <v>477</v>
      </c>
      <c r="AD43" s="102">
        <f>VLOOKUP(9,$A$4:$AX$32,30,FALSE)</f>
        <v>524</v>
      </c>
      <c r="AE43" s="102">
        <f>VLOOKUP(9,$A$4:$AX$32,31,FALSE)</f>
        <v>505</v>
      </c>
      <c r="AF43" s="102">
        <f>VLOOKUP(9,$A$4:$AX$32,32,FALSE)</f>
        <v>482</v>
      </c>
      <c r="AG43" s="102">
        <f>VLOOKUP(9,$A$4:$AX$32,33,FALSE)</f>
        <v>511</v>
      </c>
    </row>
    <row r="44" spans="1:33" ht="25.5">
      <c r="A44">
        <v>10</v>
      </c>
      <c r="B44" s="77" t="s">
        <v>52</v>
      </c>
      <c r="C44" s="102">
        <f>VLOOKUP(10,$A$4:$AX$32,3,FALSE)</f>
        <v>581</v>
      </c>
      <c r="D44" s="102">
        <f>VLOOKUP(10,$A$4:$AX$32,4,FALSE)</f>
        <v>553</v>
      </c>
      <c r="E44" s="102">
        <f>VLOOKUP(10,$A$4:$AX$32,5,FALSE)</f>
        <v>601</v>
      </c>
      <c r="F44" s="102">
        <f>VLOOKUP(10,$A$4:$AX$32,6,FALSE)</f>
        <v>605</v>
      </c>
      <c r="G44" s="102">
        <f>VLOOKUP(10,$A$4:$AX$32,7,FALSE)</f>
        <v>638</v>
      </c>
      <c r="H44" s="102">
        <f>VLOOKUP(10,$A$4:$AX$32,8,FALSE)</f>
        <v>645</v>
      </c>
      <c r="I44" s="102">
        <f>VLOOKUP(10,$A$4:$AX$32,9,FALSE)</f>
        <v>649</v>
      </c>
      <c r="J44" s="102">
        <f>VLOOKUP(10,$A$4:$AX$32,10,FALSE)</f>
        <v>608</v>
      </c>
      <c r="K44" s="102">
        <f>VLOOKUP(10,$A$4:$AX$32,11,FALSE)</f>
        <v>740</v>
      </c>
      <c r="L44" s="102">
        <f>VLOOKUP(10,$A$4:$AX$32,12,FALSE)</f>
        <v>687</v>
      </c>
      <c r="M44" s="102">
        <f>VLOOKUP(10,$A$4:$AX$32,13,FALSE)</f>
        <v>702</v>
      </c>
      <c r="N44" s="102">
        <f>VLOOKUP(10,$A$4:$AX$32,14,FALSE)</f>
        <v>696</v>
      </c>
      <c r="O44" s="102">
        <f>VLOOKUP(10,$A$4:$AX$32,15,FALSE)</f>
        <v>673</v>
      </c>
      <c r="P44" s="102">
        <f>VLOOKUP(10,$A$4:$AX$32,16,FALSE)</f>
        <v>670</v>
      </c>
      <c r="Q44" s="102">
        <f>VLOOKUP(10,$A$4:$AX$32,17,FALSE)</f>
        <v>677</v>
      </c>
      <c r="R44" s="102">
        <f>VLOOKUP(10,$A$4:$AX$32,18,FALSE)</f>
        <v>686</v>
      </c>
      <c r="S44" s="102">
        <f>VLOOKUP(10,$A$4:$AX$32,19,FALSE)</f>
        <v>679</v>
      </c>
      <c r="T44" s="102">
        <f>VLOOKUP(10,$A$4:$AX$32,20,FALSE)</f>
        <v>709</v>
      </c>
      <c r="U44" s="102">
        <f>VLOOKUP(10,$A$4:$AX$32,21,FALSE)</f>
        <v>688</v>
      </c>
      <c r="V44" s="102">
        <f>VLOOKUP(10,$A$4:$AX$32,22,FALSE)</f>
        <v>690</v>
      </c>
      <c r="W44" s="102">
        <f>VLOOKUP(10,$A$4:$AX$32,23,FALSE)</f>
        <v>734</v>
      </c>
      <c r="X44" s="102">
        <f>VLOOKUP(10,$A$4:$AX$32,24,FALSE)</f>
        <v>678</v>
      </c>
      <c r="Y44" s="102">
        <f>VLOOKUP(10,$A$4:$AX$32,25,FALSE)</f>
        <v>720</v>
      </c>
      <c r="Z44" s="102">
        <f>VLOOKUP(10,$A$4:$AX$32,26,FALSE)</f>
        <v>699</v>
      </c>
      <c r="AA44" s="102">
        <f>VLOOKUP(10,$A$4:$AX$32,27,FALSE)</f>
        <v>667</v>
      </c>
      <c r="AB44" s="102">
        <f>VLOOKUP(10,$A$4:$AX$32,28,FALSE)</f>
        <v>676</v>
      </c>
      <c r="AC44" s="102">
        <f>VLOOKUP(10,$A$4:$AX$32,29,FALSE)</f>
        <v>689</v>
      </c>
      <c r="AD44" s="102">
        <f>VLOOKUP(10,$A$4:$AX$32,30,FALSE)</f>
        <v>734</v>
      </c>
      <c r="AE44" s="102">
        <f>VLOOKUP(10,$A$4:$AX$32,31,FALSE)</f>
        <v>719</v>
      </c>
      <c r="AF44" s="102">
        <f>VLOOKUP(10,$A$4:$AX$32,32,FALSE)</f>
        <v>673</v>
      </c>
      <c r="AG44" s="102">
        <f>VLOOKUP(10,$A$4:$AX$32,33,FALSE)</f>
        <v>715</v>
      </c>
    </row>
    <row r="45" spans="1:33" ht="12.75">
      <c r="A45">
        <v>11</v>
      </c>
      <c r="B45" s="77" t="s">
        <v>53</v>
      </c>
      <c r="C45" s="102">
        <f>VLOOKUP(11,$A$4:$AX$32,3,FALSE)</f>
        <v>3148</v>
      </c>
      <c r="D45" s="102">
        <f>VLOOKUP(11,$A$4:$AX$32,4,FALSE)</f>
        <v>3039</v>
      </c>
      <c r="E45" s="102">
        <f>VLOOKUP(11,$A$4:$AX$32,5,FALSE)</f>
        <v>3207</v>
      </c>
      <c r="F45" s="102">
        <f>VLOOKUP(11,$A$4:$AX$32,6,FALSE)</f>
        <v>3253</v>
      </c>
      <c r="G45" s="102">
        <f>VLOOKUP(11,$A$4:$AX$32,7,FALSE)</f>
        <v>3370</v>
      </c>
      <c r="H45" s="102">
        <f>VLOOKUP(11,$A$4:$AX$32,8,FALSE)</f>
        <v>3450</v>
      </c>
      <c r="I45" s="102">
        <f>VLOOKUP(11,$A$4:$AX$32,9,FALSE)</f>
        <v>3462</v>
      </c>
      <c r="J45" s="102">
        <f>VLOOKUP(11,$A$4:$AX$32,10,FALSE)</f>
        <v>3143</v>
      </c>
      <c r="K45" s="102">
        <f>VLOOKUP(11,$A$4:$AX$32,11,FALSE)</f>
        <v>3838</v>
      </c>
      <c r="L45" s="102">
        <f>VLOOKUP(11,$A$4:$AX$32,12,FALSE)</f>
        <v>3620</v>
      </c>
      <c r="M45" s="102">
        <f>VLOOKUP(11,$A$4:$AX$32,13,FALSE)</f>
        <v>3696</v>
      </c>
      <c r="N45" s="102">
        <f>VLOOKUP(11,$A$4:$AX$32,14,FALSE)</f>
        <v>3684</v>
      </c>
      <c r="O45" s="102">
        <f>VLOOKUP(11,$A$4:$AX$32,15,FALSE)</f>
        <v>3630</v>
      </c>
      <c r="P45" s="102">
        <f>VLOOKUP(11,$A$4:$AX$32,16,FALSE)</f>
        <v>3574</v>
      </c>
      <c r="Q45" s="102">
        <f>VLOOKUP(11,$A$4:$AX$32,17,FALSE)</f>
        <v>3655</v>
      </c>
      <c r="R45" s="102">
        <f>VLOOKUP(11,$A$4:$AX$32,18,FALSE)</f>
        <v>3665</v>
      </c>
      <c r="S45" s="102">
        <f>VLOOKUP(11,$A$4:$AX$32,19,FALSE)</f>
        <v>3868</v>
      </c>
      <c r="T45" s="102">
        <f>VLOOKUP(11,$A$4:$AX$32,20,FALSE)</f>
        <v>3977</v>
      </c>
      <c r="U45" s="102">
        <f>VLOOKUP(11,$A$4:$AX$32,21,FALSE)</f>
        <v>3858</v>
      </c>
      <c r="V45" s="102">
        <f>VLOOKUP(11,$A$4:$AX$32,22,FALSE)</f>
        <v>3867</v>
      </c>
      <c r="W45" s="102">
        <f>VLOOKUP(11,$A$4:$AX$32,23,FALSE)</f>
        <v>4067</v>
      </c>
      <c r="X45" s="102">
        <f>VLOOKUP(11,$A$4:$AX$32,24,FALSE)</f>
        <v>3810</v>
      </c>
      <c r="Y45" s="102">
        <f>VLOOKUP(11,$A$4:$AX$32,25,FALSE)</f>
        <v>4113</v>
      </c>
      <c r="Z45" s="102">
        <f>VLOOKUP(11,$A$4:$AX$32,26,FALSE)</f>
        <v>4070</v>
      </c>
      <c r="AA45" s="102">
        <f>VLOOKUP(11,$A$4:$AX$32,27,FALSE)</f>
        <v>3893</v>
      </c>
      <c r="AB45" s="102">
        <f>VLOOKUP(11,$A$4:$AX$32,28,FALSE)</f>
        <v>3953</v>
      </c>
      <c r="AC45" s="102">
        <f>VLOOKUP(11,$A$4:$AX$32,29,FALSE)</f>
        <v>3889</v>
      </c>
      <c r="AD45" s="102">
        <f>VLOOKUP(11,$A$4:$AX$32,30,FALSE)</f>
        <v>4175</v>
      </c>
      <c r="AE45" s="102">
        <f>VLOOKUP(11,$A$4:$AX$32,31,FALSE)</f>
        <v>4088</v>
      </c>
      <c r="AF45" s="102">
        <f>VLOOKUP(11,$A$4:$AX$32,32,FALSE)</f>
        <v>4043</v>
      </c>
      <c r="AG45" s="102">
        <f>VLOOKUP(11,$A$4:$AX$32,33,FALSE)</f>
        <v>4372</v>
      </c>
    </row>
    <row r="46" spans="1:33" ht="12.75">
      <c r="A46">
        <v>12</v>
      </c>
      <c r="B46" s="77" t="s">
        <v>54</v>
      </c>
      <c r="C46" s="102">
        <f>VLOOKUP(12,$A$4:$AX$32,3,FALSE)</f>
        <v>1109</v>
      </c>
      <c r="D46" s="102">
        <f>VLOOKUP(12,$A$4:$AX$32,4,FALSE)</f>
        <v>1053</v>
      </c>
      <c r="E46" s="102">
        <f>VLOOKUP(12,$A$4:$AX$32,5,FALSE)</f>
        <v>1135</v>
      </c>
      <c r="F46" s="102">
        <f>VLOOKUP(12,$A$4:$AX$32,6,FALSE)</f>
        <v>1136</v>
      </c>
      <c r="G46" s="102">
        <f>VLOOKUP(12,$A$4:$AX$32,7,FALSE)</f>
        <v>1182</v>
      </c>
      <c r="H46" s="102">
        <f>VLOOKUP(12,$A$4:$AX$32,8,FALSE)</f>
        <v>1204</v>
      </c>
      <c r="I46" s="102">
        <f>VLOOKUP(12,$A$4:$AX$32,9,FALSE)</f>
        <v>1142</v>
      </c>
      <c r="J46" s="102">
        <f>VLOOKUP(12,$A$4:$AX$32,10,FALSE)</f>
        <v>1106</v>
      </c>
      <c r="K46" s="102">
        <f>VLOOKUP(12,$A$4:$AX$32,11,FALSE)</f>
        <v>1356</v>
      </c>
      <c r="L46" s="102">
        <f>VLOOKUP(12,$A$4:$AX$32,12,FALSE)</f>
        <v>1295</v>
      </c>
      <c r="M46" s="102">
        <f>VLOOKUP(12,$A$4:$AX$32,13,FALSE)</f>
        <v>1310</v>
      </c>
      <c r="N46" s="102">
        <f>VLOOKUP(12,$A$4:$AX$32,14,FALSE)</f>
        <v>1274</v>
      </c>
      <c r="O46" s="102">
        <f>VLOOKUP(12,$A$4:$AX$32,15,FALSE)</f>
        <v>1216</v>
      </c>
      <c r="P46" s="102">
        <f>VLOOKUP(12,$A$4:$AX$32,16,FALSE)</f>
        <v>1264</v>
      </c>
      <c r="Q46" s="102">
        <f>VLOOKUP(12,$A$4:$AX$32,17,FALSE)</f>
        <v>1224</v>
      </c>
      <c r="R46" s="102">
        <f>VLOOKUP(12,$A$4:$AX$32,18,FALSE)</f>
        <v>1251</v>
      </c>
      <c r="S46" s="102">
        <f>VLOOKUP(12,$A$4:$AX$32,19,FALSE)</f>
        <v>1300</v>
      </c>
      <c r="T46" s="102">
        <f>VLOOKUP(12,$A$4:$AX$32,20,FALSE)</f>
        <v>1342</v>
      </c>
      <c r="U46" s="102">
        <f>VLOOKUP(12,$A$4:$AX$32,21,FALSE)</f>
        <v>1304</v>
      </c>
      <c r="V46" s="102">
        <f>VLOOKUP(12,$A$4:$AX$32,22,FALSE)</f>
        <v>1272</v>
      </c>
      <c r="W46" s="102">
        <f>VLOOKUP(12,$A$4:$AX$32,23,FALSE)</f>
        <v>1374</v>
      </c>
      <c r="X46" s="102">
        <f>VLOOKUP(12,$A$4:$AX$32,24,FALSE)</f>
        <v>1247</v>
      </c>
      <c r="Y46" s="102">
        <f>VLOOKUP(12,$A$4:$AX$32,25,FALSE)</f>
        <v>1379</v>
      </c>
      <c r="Z46" s="102">
        <f>VLOOKUP(12,$A$4:$AX$32,26,FALSE)</f>
        <v>1329</v>
      </c>
      <c r="AA46" s="102">
        <f>VLOOKUP(12,$A$4:$AX$32,27,FALSE)</f>
        <v>1309</v>
      </c>
      <c r="AB46" s="102">
        <f>VLOOKUP(12,$A$4:$AX$32,28,FALSE)</f>
        <v>1319</v>
      </c>
      <c r="AC46" s="102">
        <f>VLOOKUP(12,$A$4:$AX$32,29,FALSE)</f>
        <v>1278</v>
      </c>
      <c r="AD46" s="102">
        <f>VLOOKUP(12,$A$4:$AX$32,30,FALSE)</f>
        <v>1395</v>
      </c>
      <c r="AE46" s="102">
        <f>VLOOKUP(12,$A$4:$AX$32,31,FALSE)</f>
        <v>1380</v>
      </c>
      <c r="AF46" s="102">
        <f>VLOOKUP(12,$A$4:$AX$32,32,FALSE)</f>
        <v>1303</v>
      </c>
      <c r="AG46" s="102">
        <f>VLOOKUP(12,$A$4:$AX$32,33,FALSE)</f>
        <v>1433</v>
      </c>
    </row>
    <row r="47" spans="1:33" ht="12.75">
      <c r="A47">
        <v>13</v>
      </c>
      <c r="B47" s="77" t="s">
        <v>55</v>
      </c>
      <c r="C47" s="102">
        <f>VLOOKUP(13,$A$4:$AX$32,3,FALSE)</f>
        <v>856</v>
      </c>
      <c r="D47" s="102">
        <f>VLOOKUP(13,$A$4:$AX$32,4,FALSE)</f>
        <v>828</v>
      </c>
      <c r="E47" s="102">
        <f>VLOOKUP(13,$A$4:$AX$32,5,FALSE)</f>
        <v>857</v>
      </c>
      <c r="F47" s="102">
        <f>VLOOKUP(13,$A$4:$AX$32,6,FALSE)</f>
        <v>852</v>
      </c>
      <c r="G47" s="102">
        <f>VLOOKUP(13,$A$4:$AX$32,7,FALSE)</f>
        <v>891</v>
      </c>
      <c r="H47" s="102">
        <f>VLOOKUP(13,$A$4:$AX$32,8,FALSE)</f>
        <v>885</v>
      </c>
      <c r="I47" s="102">
        <f>VLOOKUP(13,$A$4:$AX$32,9,FALSE)</f>
        <v>882</v>
      </c>
      <c r="J47" s="102">
        <f>VLOOKUP(13,$A$4:$AX$32,10,FALSE)</f>
        <v>772</v>
      </c>
      <c r="K47" s="102">
        <f>VLOOKUP(13,$A$4:$AX$32,11,FALSE)</f>
        <v>995</v>
      </c>
      <c r="L47" s="102">
        <f>VLOOKUP(13,$A$4:$AX$32,12,FALSE)</f>
        <v>900</v>
      </c>
      <c r="M47" s="102">
        <f>VLOOKUP(13,$A$4:$AX$32,13,FALSE)</f>
        <v>938</v>
      </c>
      <c r="N47" s="102">
        <f>VLOOKUP(13,$A$4:$AX$32,14,FALSE)</f>
        <v>915</v>
      </c>
      <c r="O47" s="102">
        <f>VLOOKUP(13,$A$4:$AX$32,15,FALSE)</f>
        <v>902</v>
      </c>
      <c r="P47" s="102">
        <f>VLOOKUP(13,$A$4:$AX$32,16,FALSE)</f>
        <v>947</v>
      </c>
      <c r="Q47" s="102">
        <f>VLOOKUP(13,$A$4:$AX$32,17,FALSE)</f>
        <v>919</v>
      </c>
      <c r="R47" s="102">
        <f>VLOOKUP(13,$A$4:$AX$32,18,FALSE)</f>
        <v>907</v>
      </c>
      <c r="S47" s="102">
        <f>VLOOKUP(13,$A$4:$AX$32,19,FALSE)</f>
        <v>930</v>
      </c>
      <c r="T47" s="102">
        <f>VLOOKUP(13,$A$4:$AX$32,20,FALSE)</f>
        <v>970</v>
      </c>
      <c r="U47" s="102">
        <f>VLOOKUP(13,$A$4:$AX$32,21,FALSE)</f>
        <v>971</v>
      </c>
      <c r="V47" s="102">
        <f>VLOOKUP(13,$A$4:$AX$32,22,FALSE)</f>
        <v>955</v>
      </c>
      <c r="W47" s="102">
        <f>VLOOKUP(13,$A$4:$AX$32,23,FALSE)</f>
        <v>1024</v>
      </c>
      <c r="X47" s="102">
        <f>VLOOKUP(13,$A$4:$AX$32,24,FALSE)</f>
        <v>967</v>
      </c>
      <c r="Y47" s="102">
        <f>VLOOKUP(13,$A$4:$AX$32,25,FALSE)</f>
        <v>1031</v>
      </c>
      <c r="Z47" s="102">
        <f>VLOOKUP(13,$A$4:$AX$32,26,FALSE)</f>
        <v>1006</v>
      </c>
      <c r="AA47" s="102">
        <f>VLOOKUP(13,$A$4:$AX$32,27,FALSE)</f>
        <v>991</v>
      </c>
      <c r="AB47" s="102">
        <f>VLOOKUP(13,$A$4:$AX$32,28,FALSE)</f>
        <v>1011</v>
      </c>
      <c r="AC47" s="102">
        <f>VLOOKUP(13,$A$4:$AX$32,29,FALSE)</f>
        <v>1003</v>
      </c>
      <c r="AD47" s="102">
        <f>VLOOKUP(13,$A$4:$AX$32,30,FALSE)</f>
        <v>1043</v>
      </c>
      <c r="AE47" s="102">
        <f>VLOOKUP(13,$A$4:$AX$32,31,FALSE)</f>
        <v>1038</v>
      </c>
      <c r="AF47" s="102">
        <f>VLOOKUP(13,$A$4:$AX$32,32,FALSE)</f>
        <v>1008</v>
      </c>
      <c r="AG47" s="102">
        <f>VLOOKUP(13,$A$4:$AX$32,33,FALSE)</f>
        <v>1102</v>
      </c>
    </row>
    <row r="48" spans="1:33" ht="12.75">
      <c r="A48">
        <v>14</v>
      </c>
      <c r="B48" s="77" t="s">
        <v>56</v>
      </c>
      <c r="C48" s="102">
        <f>VLOOKUP(14,$A$4:$AX$32,3,FALSE)</f>
        <v>49</v>
      </c>
      <c r="D48" s="102">
        <f>VLOOKUP(14,$A$4:$AX$32,4,FALSE)</f>
        <v>38</v>
      </c>
      <c r="E48" s="102">
        <f>VLOOKUP(14,$A$4:$AX$32,5,FALSE)</f>
        <v>50</v>
      </c>
      <c r="F48" s="102">
        <f>VLOOKUP(14,$A$4:$AX$32,6,FALSE)</f>
        <v>58</v>
      </c>
      <c r="G48" s="102">
        <f>VLOOKUP(14,$A$4:$AX$32,7,FALSE)</f>
        <v>59</v>
      </c>
      <c r="H48" s="102">
        <f>VLOOKUP(14,$A$4:$AX$32,8,FALSE)</f>
        <v>74</v>
      </c>
      <c r="I48" s="102">
        <f>VLOOKUP(14,$A$4:$AX$32,9,FALSE)</f>
        <v>62</v>
      </c>
      <c r="J48" s="102">
        <f>VLOOKUP(14,$A$4:$AX$32,10,FALSE)</f>
        <v>59</v>
      </c>
      <c r="K48" s="102">
        <f>VLOOKUP(14,$A$4:$AX$32,11,FALSE)</f>
        <v>84</v>
      </c>
      <c r="L48" s="102">
        <f>VLOOKUP(14,$A$4:$AX$32,12,FALSE)</f>
        <v>78</v>
      </c>
      <c r="M48" s="102">
        <f>VLOOKUP(14,$A$4:$AX$32,13,FALSE)</f>
        <v>75</v>
      </c>
      <c r="N48" s="102">
        <f>VLOOKUP(14,$A$4:$AX$32,14,FALSE)</f>
        <v>87</v>
      </c>
      <c r="O48" s="102">
        <f>VLOOKUP(14,$A$4:$AX$32,15,FALSE)</f>
        <v>82</v>
      </c>
      <c r="P48" s="102">
        <f>VLOOKUP(14,$A$4:$AX$32,16,FALSE)</f>
        <v>80</v>
      </c>
      <c r="Q48" s="102">
        <f>VLOOKUP(14,$A$4:$AX$32,17,FALSE)</f>
        <v>87</v>
      </c>
      <c r="R48" s="102">
        <f>VLOOKUP(14,$A$4:$AX$32,18,FALSE)</f>
        <v>93</v>
      </c>
      <c r="S48" s="102">
        <f>VLOOKUP(14,$A$4:$AX$32,19,FALSE)</f>
        <v>91</v>
      </c>
      <c r="T48" s="102">
        <f>VLOOKUP(14,$A$4:$AX$32,20,FALSE)</f>
        <v>98</v>
      </c>
      <c r="U48" s="102">
        <f>VLOOKUP(14,$A$4:$AX$32,21,FALSE)</f>
        <v>95</v>
      </c>
      <c r="V48" s="102">
        <f>VLOOKUP(14,$A$4:$AX$32,22,FALSE)</f>
        <v>104</v>
      </c>
      <c r="W48" s="102">
        <f>VLOOKUP(14,$A$4:$AX$32,23,FALSE)</f>
        <v>106</v>
      </c>
      <c r="X48" s="102">
        <f>VLOOKUP(14,$A$4:$AX$32,24,FALSE)</f>
        <v>102</v>
      </c>
      <c r="Y48" s="102">
        <f>VLOOKUP(14,$A$4:$AX$32,25,FALSE)</f>
        <v>118</v>
      </c>
      <c r="Z48" s="102">
        <f>VLOOKUP(14,$A$4:$AX$32,26,FALSE)</f>
        <v>119</v>
      </c>
      <c r="AA48" s="102">
        <f>VLOOKUP(14,$A$4:$AX$32,27,FALSE)</f>
        <v>125</v>
      </c>
      <c r="AB48" s="102">
        <f>VLOOKUP(14,$A$4:$AX$32,28,FALSE)</f>
        <v>125</v>
      </c>
      <c r="AC48" s="102">
        <f>VLOOKUP(14,$A$4:$AX$32,29,FALSE)</f>
        <v>123</v>
      </c>
      <c r="AD48" s="102">
        <f>VLOOKUP(14,$A$4:$AX$32,30,FALSE)</f>
        <v>133</v>
      </c>
      <c r="AE48" s="102">
        <f>VLOOKUP(14,$A$4:$AX$32,31,FALSE)</f>
        <v>148</v>
      </c>
      <c r="AF48" s="102">
        <f>VLOOKUP(14,$A$4:$AX$32,32,FALSE)</f>
        <v>154</v>
      </c>
      <c r="AG48" s="102">
        <f>VLOOKUP(14,$A$4:$AX$32,33,FALSE)</f>
        <v>176</v>
      </c>
    </row>
    <row r="49" spans="1:33" ht="12.75">
      <c r="A49">
        <v>15</v>
      </c>
      <c r="B49" s="77" t="s">
        <v>57</v>
      </c>
      <c r="C49" s="102">
        <f>VLOOKUP(15,$A$4:$AX$32,3,FALSE)</f>
        <v>0</v>
      </c>
      <c r="D49" s="102">
        <f>VLOOKUP(15,$A$4:$AX$32,4,FALSE)</f>
        <v>0</v>
      </c>
      <c r="E49" s="102">
        <f>VLOOKUP(15,$A$4:$AX$32,5,FALSE)</f>
        <v>0</v>
      </c>
      <c r="F49" s="102">
        <f>VLOOKUP(15,$A$4:$AX$32,6,FALSE)</f>
        <v>0</v>
      </c>
      <c r="G49" s="102">
        <f>VLOOKUP(15,$A$4:$AX$32,7,FALSE)</f>
        <v>0</v>
      </c>
      <c r="H49" s="102">
        <f>VLOOKUP(15,$A$4:$AX$32,8,FALSE)</f>
        <v>0</v>
      </c>
      <c r="I49" s="102">
        <f>VLOOKUP(15,$A$4:$AX$32,9,FALSE)</f>
        <v>0</v>
      </c>
      <c r="J49" s="102">
        <f>VLOOKUP(15,$A$4:$AX$32,10,FALSE)</f>
        <v>0</v>
      </c>
      <c r="K49" s="102">
        <f>VLOOKUP(15,$A$4:$AX$32,11,FALSE)</f>
        <v>0</v>
      </c>
      <c r="L49" s="102">
        <f>VLOOKUP(15,$A$4:$AX$32,12,FALSE)</f>
        <v>0</v>
      </c>
      <c r="M49" s="102">
        <f>VLOOKUP(15,$A$4:$AX$32,13,FALSE)</f>
        <v>0</v>
      </c>
      <c r="N49" s="102">
        <f>VLOOKUP(15,$A$4:$AX$32,14,FALSE)</f>
        <v>0</v>
      </c>
      <c r="O49" s="102">
        <f>VLOOKUP(15,$A$4:$AX$32,15,FALSE)</f>
        <v>0</v>
      </c>
      <c r="P49" s="102">
        <f>VLOOKUP(15,$A$4:$AX$32,16,FALSE)</f>
        <v>0</v>
      </c>
      <c r="Q49" s="102">
        <f>VLOOKUP(15,$A$4:$AX$32,17,FALSE)</f>
        <v>0</v>
      </c>
      <c r="R49" s="102">
        <f>VLOOKUP(15,$A$4:$AX$32,18,FALSE)</f>
        <v>0</v>
      </c>
      <c r="S49" s="102">
        <f>VLOOKUP(15,$A$4:$AX$32,19,FALSE)</f>
        <v>0</v>
      </c>
      <c r="T49" s="102">
        <f>VLOOKUP(15,$A$4:$AX$32,20,FALSE)</f>
        <v>0</v>
      </c>
      <c r="U49" s="102">
        <f>VLOOKUP(15,$A$4:$AX$32,21,FALSE)</f>
        <v>0</v>
      </c>
      <c r="V49" s="102">
        <f>VLOOKUP(15,$A$4:$AX$32,22,FALSE)</f>
        <v>180</v>
      </c>
      <c r="W49" s="102">
        <f>VLOOKUP(15,$A$4:$AX$32,23,FALSE)</f>
        <v>404</v>
      </c>
      <c r="X49" s="102">
        <f>VLOOKUP(15,$A$4:$AX$32,24,FALSE)</f>
        <v>526</v>
      </c>
      <c r="Y49" s="102">
        <f>VLOOKUP(15,$A$4:$AX$32,25,FALSE)</f>
        <v>704</v>
      </c>
      <c r="Z49" s="102">
        <f>VLOOKUP(15,$A$4:$AX$32,26,FALSE)</f>
        <v>850</v>
      </c>
      <c r="AA49" s="102">
        <f>VLOOKUP(15,$A$4:$AX$32,27,FALSE)</f>
        <v>942</v>
      </c>
      <c r="AB49" s="102">
        <f>VLOOKUP(15,$A$4:$AX$32,28,FALSE)</f>
        <v>994</v>
      </c>
      <c r="AC49" s="102">
        <f>VLOOKUP(15,$A$4:$AX$32,29,FALSE)</f>
        <v>1109</v>
      </c>
      <c r="AD49" s="102">
        <f>VLOOKUP(15,$A$4:$AX$32,30,FALSE)</f>
        <v>1353</v>
      </c>
      <c r="AE49" s="102">
        <f>VLOOKUP(15,$A$4:$AX$32,31,FALSE)</f>
        <v>1448</v>
      </c>
      <c r="AF49" s="102">
        <f>VLOOKUP(15,$A$4:$AX$32,32,FALSE)</f>
        <v>1534</v>
      </c>
      <c r="AG49" s="102">
        <f>VLOOKUP(15,$A$4:$AX$32,33,FALSE)</f>
        <v>1721</v>
      </c>
    </row>
    <row r="50" spans="1:33" ht="12.75">
      <c r="A50">
        <v>16</v>
      </c>
      <c r="B50" s="77" t="s">
        <v>58</v>
      </c>
      <c r="C50" s="102">
        <f>VLOOKUP(16,$A$4:$AX$32,3,FALSE)</f>
        <v>542</v>
      </c>
      <c r="D50" s="102">
        <f>VLOOKUP(16,$A$4:$AX$32,4,FALSE)</f>
        <v>549</v>
      </c>
      <c r="E50" s="102">
        <f>VLOOKUP(16,$A$4:$AX$32,5,FALSE)</f>
        <v>621</v>
      </c>
      <c r="F50" s="102">
        <f>VLOOKUP(16,$A$4:$AX$32,6,FALSE)</f>
        <v>692</v>
      </c>
      <c r="G50" s="102">
        <f>VLOOKUP(16,$A$4:$AX$32,7,FALSE)</f>
        <v>808</v>
      </c>
      <c r="H50" s="102">
        <f>VLOOKUP(16,$A$4:$AX$32,8,FALSE)</f>
        <v>825</v>
      </c>
      <c r="I50" s="102">
        <f>VLOOKUP(16,$A$4:$AX$32,9,FALSE)</f>
        <v>847</v>
      </c>
      <c r="J50" s="102">
        <f>VLOOKUP(16,$A$4:$AX$32,10,FALSE)</f>
        <v>779</v>
      </c>
      <c r="K50" s="102">
        <f>VLOOKUP(16,$A$4:$AX$32,11,FALSE)</f>
        <v>985</v>
      </c>
      <c r="L50" s="102">
        <f>VLOOKUP(16,$A$4:$AX$32,12,FALSE)</f>
        <v>952</v>
      </c>
      <c r="M50" s="102">
        <f>VLOOKUP(16,$A$4:$AX$32,13,FALSE)</f>
        <v>1003</v>
      </c>
      <c r="N50" s="102">
        <f>VLOOKUP(16,$A$4:$AX$32,14,FALSE)</f>
        <v>1022</v>
      </c>
      <c r="O50" s="102">
        <f>VLOOKUP(16,$A$4:$AX$32,15,FALSE)</f>
        <v>1014</v>
      </c>
      <c r="P50" s="102">
        <f>VLOOKUP(16,$A$4:$AX$32,16,FALSE)</f>
        <v>1032</v>
      </c>
      <c r="Q50" s="102">
        <f>VLOOKUP(16,$A$4:$AX$32,17,FALSE)</f>
        <v>1051</v>
      </c>
      <c r="R50" s="102">
        <f>VLOOKUP(16,$A$4:$AX$32,18,FALSE)</f>
        <v>1065</v>
      </c>
      <c r="S50" s="102">
        <f>VLOOKUP(16,$A$4:$AX$32,19,FALSE)</f>
        <v>1136</v>
      </c>
      <c r="T50" s="102">
        <f>VLOOKUP(16,$A$4:$AX$32,20,FALSE)</f>
        <v>1200</v>
      </c>
      <c r="U50" s="102">
        <f>VLOOKUP(16,$A$4:$AX$32,21,FALSE)</f>
        <v>1189</v>
      </c>
      <c r="V50" s="102">
        <f>VLOOKUP(16,$A$4:$AX$32,22,FALSE)</f>
        <v>1191</v>
      </c>
      <c r="W50" s="102">
        <f>VLOOKUP(16,$A$4:$AX$32,23,FALSE)</f>
        <v>1270</v>
      </c>
      <c r="X50" s="102">
        <f>VLOOKUP(16,$A$4:$AX$32,24,FALSE)</f>
        <v>1120</v>
      </c>
      <c r="Y50" s="102">
        <f>VLOOKUP(16,$A$4:$AX$32,25,FALSE)</f>
        <v>1196</v>
      </c>
      <c r="Z50" s="102">
        <f>VLOOKUP(16,$A$4:$AX$32,26,FALSE)</f>
        <v>1233</v>
      </c>
      <c r="AA50" s="102">
        <f>VLOOKUP(16,$A$4:$AX$32,27,FALSE)</f>
        <v>1209</v>
      </c>
      <c r="AB50" s="102">
        <f>VLOOKUP(16,$A$4:$AX$32,28,FALSE)</f>
        <v>1206</v>
      </c>
      <c r="AC50" s="102">
        <f>VLOOKUP(16,$A$4:$AX$32,29,FALSE)</f>
        <v>1198</v>
      </c>
      <c r="AD50" s="102">
        <f>VLOOKUP(16,$A$4:$AX$32,30,FALSE)</f>
        <v>1309</v>
      </c>
      <c r="AE50" s="102">
        <f>VLOOKUP(16,$A$4:$AX$32,31,FALSE)</f>
        <v>1253</v>
      </c>
      <c r="AF50" s="102">
        <f>VLOOKUP(16,$A$4:$AX$32,32,FALSE)</f>
        <v>1226</v>
      </c>
      <c r="AG50" s="102">
        <f>VLOOKUP(16,$A$4:$AX$32,33,FALSE)</f>
        <v>1331</v>
      </c>
    </row>
    <row r="51" spans="1:33" ht="12.75">
      <c r="A51">
        <v>17</v>
      </c>
      <c r="B51" s="77" t="s">
        <v>59</v>
      </c>
      <c r="C51" s="102">
        <f>VLOOKUP(17,$A$4:$AX$32,3,FALSE)</f>
        <v>57</v>
      </c>
      <c r="D51" s="102">
        <f>VLOOKUP(17,$A$4:$AX$32,4,FALSE)</f>
        <v>46</v>
      </c>
      <c r="E51" s="102">
        <f>VLOOKUP(17,$A$4:$AX$32,5,FALSE)</f>
        <v>56</v>
      </c>
      <c r="F51" s="102">
        <f>VLOOKUP(17,$A$4:$AX$32,6,FALSE)</f>
        <v>57</v>
      </c>
      <c r="G51" s="102">
        <f>VLOOKUP(17,$A$4:$AX$32,7,FALSE)</f>
        <v>70</v>
      </c>
      <c r="H51" s="102">
        <f>VLOOKUP(17,$A$4:$AX$32,8,FALSE)</f>
        <v>67</v>
      </c>
      <c r="I51" s="102">
        <f>VLOOKUP(17,$A$4:$AX$32,9,FALSE)</f>
        <v>75</v>
      </c>
      <c r="J51" s="102">
        <f>VLOOKUP(17,$A$4:$AX$32,10,FALSE)</f>
        <v>68</v>
      </c>
      <c r="K51" s="102">
        <f>VLOOKUP(17,$A$4:$AX$32,11,FALSE)</f>
        <v>91</v>
      </c>
      <c r="L51" s="102">
        <f>VLOOKUP(17,$A$4:$AX$32,12,FALSE)</f>
        <v>78</v>
      </c>
      <c r="M51" s="102">
        <f>VLOOKUP(17,$A$4:$AX$32,13,FALSE)</f>
        <v>109</v>
      </c>
      <c r="N51" s="102">
        <f>VLOOKUP(17,$A$4:$AX$32,14,FALSE)</f>
        <v>97</v>
      </c>
      <c r="O51" s="102">
        <f>VLOOKUP(17,$A$4:$AX$32,15,FALSE)</f>
        <v>94</v>
      </c>
      <c r="P51" s="102">
        <f>VLOOKUP(17,$A$4:$AX$32,16,FALSE)</f>
        <v>110</v>
      </c>
      <c r="Q51" s="102">
        <f>VLOOKUP(17,$A$4:$AX$32,17,FALSE)</f>
        <v>98</v>
      </c>
      <c r="R51" s="102">
        <f>VLOOKUP(17,$A$4:$AX$32,18,FALSE)</f>
        <v>102</v>
      </c>
      <c r="S51" s="102">
        <f>VLOOKUP(17,$A$4:$AX$32,19,FALSE)</f>
        <v>93</v>
      </c>
      <c r="T51" s="102">
        <f>VLOOKUP(17,$A$4:$AX$32,20,FALSE)</f>
        <v>114</v>
      </c>
      <c r="U51" s="102">
        <f>VLOOKUP(17,$A$4:$AX$32,21,FALSE)</f>
        <v>115</v>
      </c>
      <c r="V51" s="102">
        <f>VLOOKUP(17,$A$4:$AX$32,22,FALSE)</f>
        <v>119</v>
      </c>
      <c r="W51" s="102">
        <f>VLOOKUP(17,$A$4:$AX$32,23,FALSE)</f>
        <v>129</v>
      </c>
      <c r="X51" s="102">
        <f>VLOOKUP(17,$A$4:$AX$32,24,FALSE)</f>
        <v>131</v>
      </c>
      <c r="Y51" s="102">
        <f>VLOOKUP(17,$A$4:$AX$32,25,FALSE)</f>
        <v>150</v>
      </c>
      <c r="Z51" s="102">
        <f>VLOOKUP(17,$A$4:$AX$32,26,FALSE)</f>
        <v>156</v>
      </c>
      <c r="AA51" s="102">
        <f>VLOOKUP(17,$A$4:$AX$32,27,FALSE)</f>
        <v>144</v>
      </c>
      <c r="AB51" s="102">
        <f>VLOOKUP(17,$A$4:$AX$32,28,FALSE)</f>
        <v>150</v>
      </c>
      <c r="AC51" s="102">
        <f>VLOOKUP(17,$A$4:$AX$32,29,FALSE)</f>
        <v>146</v>
      </c>
      <c r="AD51" s="102">
        <f>VLOOKUP(17,$A$4:$AX$32,30,FALSE)</f>
        <v>157</v>
      </c>
      <c r="AE51" s="102">
        <f>VLOOKUP(17,$A$4:$AX$32,31,FALSE)</f>
        <v>170</v>
      </c>
      <c r="AF51" s="102">
        <f>VLOOKUP(17,$A$4:$AX$32,32,FALSE)</f>
        <v>154</v>
      </c>
      <c r="AG51" s="102">
        <f>VLOOKUP(17,$A$4:$AX$32,33,FALSE)</f>
        <v>183</v>
      </c>
    </row>
    <row r="52" spans="1:33" ht="12.75">
      <c r="A52">
        <v>18</v>
      </c>
      <c r="B52" s="77" t="s">
        <v>60</v>
      </c>
      <c r="C52" s="102">
        <f>VLOOKUP(18,$A$4:$AX$32,3,FALSE)</f>
        <v>0</v>
      </c>
      <c r="D52" s="102">
        <f>VLOOKUP(18,$A$4:$AX$32,4,FALSE)</f>
        <v>0</v>
      </c>
      <c r="E52" s="102">
        <f>VLOOKUP(18,$A$4:$AX$32,5,FALSE)</f>
        <v>0</v>
      </c>
      <c r="F52" s="102">
        <f>VLOOKUP(18,$A$4:$AX$32,6,FALSE)</f>
        <v>0</v>
      </c>
      <c r="G52" s="102">
        <f>VLOOKUP(18,$A$4:$AX$32,7,FALSE)</f>
        <v>0</v>
      </c>
      <c r="H52" s="102">
        <f>VLOOKUP(18,$A$4:$AX$32,8,FALSE)</f>
        <v>0</v>
      </c>
      <c r="I52" s="102">
        <f>VLOOKUP(18,$A$4:$AX$32,9,FALSE)</f>
        <v>43</v>
      </c>
      <c r="J52" s="102">
        <f>VLOOKUP(18,$A$4:$AX$32,10,FALSE)</f>
        <v>139</v>
      </c>
      <c r="K52" s="102">
        <f>VLOOKUP(18,$A$4:$AX$32,11,FALSE)</f>
        <v>316</v>
      </c>
      <c r="L52" s="102">
        <f>VLOOKUP(18,$A$4:$AX$32,12,FALSE)</f>
        <v>425</v>
      </c>
      <c r="M52" s="102">
        <f>VLOOKUP(18,$A$4:$AX$32,13,FALSE)</f>
        <v>527</v>
      </c>
      <c r="N52" s="102">
        <f>VLOOKUP(18,$A$4:$AX$32,14,FALSE)</f>
        <v>565</v>
      </c>
      <c r="O52" s="102">
        <f>VLOOKUP(18,$A$4:$AX$32,15,FALSE)</f>
        <v>576</v>
      </c>
      <c r="P52" s="102">
        <f>VLOOKUP(18,$A$4:$AX$32,16,FALSE)</f>
        <v>603</v>
      </c>
      <c r="Q52" s="102">
        <f>VLOOKUP(18,$A$4:$AX$32,17,FALSE)</f>
        <v>660</v>
      </c>
      <c r="R52" s="102">
        <f>VLOOKUP(18,$A$4:$AX$32,18,FALSE)</f>
        <v>686</v>
      </c>
      <c r="S52" s="102">
        <f>VLOOKUP(18,$A$4:$AX$32,19,FALSE)</f>
        <v>735</v>
      </c>
      <c r="T52" s="102">
        <f>VLOOKUP(18,$A$4:$AX$32,20,FALSE)</f>
        <v>802</v>
      </c>
      <c r="U52" s="102">
        <f>VLOOKUP(18,$A$4:$AX$32,21,FALSE)</f>
        <v>814</v>
      </c>
      <c r="V52" s="102">
        <f>VLOOKUP(18,$A$4:$AX$32,22,FALSE)</f>
        <v>795</v>
      </c>
      <c r="W52" s="102">
        <f>VLOOKUP(18,$A$4:$AX$32,23,FALSE)</f>
        <v>871</v>
      </c>
      <c r="X52" s="102">
        <f>VLOOKUP(18,$A$4:$AX$32,24,FALSE)</f>
        <v>827</v>
      </c>
      <c r="Y52" s="102">
        <f>VLOOKUP(18,$A$4:$AX$32,25,FALSE)</f>
        <v>866</v>
      </c>
      <c r="Z52" s="102">
        <f>VLOOKUP(18,$A$4:$AX$32,26,FALSE)</f>
        <v>848</v>
      </c>
      <c r="AA52" s="102">
        <f>VLOOKUP(18,$A$4:$AX$32,27,FALSE)</f>
        <v>804</v>
      </c>
      <c r="AB52" s="102">
        <f>VLOOKUP(18,$A$4:$AX$32,28,FALSE)</f>
        <v>847</v>
      </c>
      <c r="AC52" s="102">
        <f>VLOOKUP(18,$A$4:$AX$32,29,FALSE)</f>
        <v>829</v>
      </c>
      <c r="AD52" s="102">
        <f>VLOOKUP(18,$A$4:$AX$32,30,FALSE)</f>
        <v>918</v>
      </c>
      <c r="AE52" s="102">
        <f>VLOOKUP(18,$A$4:$AX$32,31,FALSE)</f>
        <v>928</v>
      </c>
      <c r="AF52" s="102">
        <f>VLOOKUP(18,$A$4:$AX$32,32,FALSE)</f>
        <v>904</v>
      </c>
      <c r="AG52" s="102">
        <f>VLOOKUP(18,$A$4:$AX$32,33,FALSE)</f>
        <v>1003</v>
      </c>
    </row>
    <row r="53" spans="1:33" ht="12.75">
      <c r="A53">
        <v>19</v>
      </c>
      <c r="B53" s="77" t="s">
        <v>61</v>
      </c>
      <c r="C53" s="102">
        <f>VLOOKUP(19,$A$4:$AX$32,3,FALSE)</f>
        <v>0</v>
      </c>
      <c r="D53" s="102">
        <f>VLOOKUP(19,$A$4:$AX$32,4,FALSE)</f>
        <v>0</v>
      </c>
      <c r="E53" s="102">
        <f>VLOOKUP(19,$A$4:$AX$32,5,FALSE)</f>
        <v>0</v>
      </c>
      <c r="F53" s="102">
        <f>VLOOKUP(19,$A$4:$AX$32,6,FALSE)</f>
        <v>0</v>
      </c>
      <c r="G53" s="102">
        <f>VLOOKUP(19,$A$4:$AX$32,7,FALSE)</f>
        <v>0</v>
      </c>
      <c r="H53" s="102">
        <f>VLOOKUP(19,$A$4:$AX$32,8,FALSE)</f>
        <v>0</v>
      </c>
      <c r="I53" s="102">
        <f>VLOOKUP(19,$A$4:$AX$32,9,FALSE)</f>
        <v>0</v>
      </c>
      <c r="J53" s="102">
        <f>VLOOKUP(19,$A$4:$AX$32,10,FALSE)</f>
        <v>0</v>
      </c>
      <c r="K53" s="102">
        <f>VLOOKUP(19,$A$4:$AX$32,11,FALSE)</f>
        <v>0</v>
      </c>
      <c r="L53" s="102">
        <f>VLOOKUP(19,$A$4:$AX$32,12,FALSE)</f>
        <v>0</v>
      </c>
      <c r="M53" s="102">
        <f>VLOOKUP(19,$A$4:$AX$32,13,FALSE)</f>
        <v>0</v>
      </c>
      <c r="N53" s="102">
        <f>VLOOKUP(19,$A$4:$AX$32,14,FALSE)</f>
        <v>0</v>
      </c>
      <c r="O53" s="102">
        <f>VLOOKUP(19,$A$4:$AX$32,15,FALSE)</f>
        <v>0</v>
      </c>
      <c r="P53" s="102">
        <f>VLOOKUP(19,$A$4:$AX$32,16,FALSE)</f>
        <v>0</v>
      </c>
      <c r="Q53" s="102">
        <f>VLOOKUP(19,$A$4:$AX$32,17,FALSE)</f>
        <v>0</v>
      </c>
      <c r="R53" s="102">
        <f>VLOOKUP(19,$A$4:$AX$32,18,FALSE)</f>
        <v>0</v>
      </c>
      <c r="S53" s="102">
        <f>VLOOKUP(19,$A$4:$AX$32,19,FALSE)</f>
        <v>0</v>
      </c>
      <c r="T53" s="102">
        <f>VLOOKUP(19,$A$4:$AX$32,20,FALSE)</f>
        <v>0</v>
      </c>
      <c r="U53" s="102">
        <f>VLOOKUP(19,$A$4:$AX$32,21,FALSE)</f>
        <v>11</v>
      </c>
      <c r="V53" s="102">
        <f>VLOOKUP(19,$A$4:$AX$32,22,FALSE)</f>
        <v>52</v>
      </c>
      <c r="W53" s="102">
        <f>VLOOKUP(19,$A$4:$AX$32,23,FALSE)</f>
        <v>94</v>
      </c>
      <c r="X53" s="102">
        <f>VLOOKUP(19,$A$4:$AX$32,24,FALSE)</f>
        <v>109</v>
      </c>
      <c r="Y53" s="102">
        <f>VLOOKUP(19,$A$4:$AX$32,25,FALSE)</f>
        <v>142</v>
      </c>
      <c r="Z53" s="102">
        <f>VLOOKUP(19,$A$4:$AX$32,26,FALSE)</f>
        <v>171</v>
      </c>
      <c r="AA53" s="102">
        <f>VLOOKUP(19,$A$4:$AX$32,27,FALSE)</f>
        <v>180</v>
      </c>
      <c r="AB53" s="102">
        <f>VLOOKUP(19,$A$4:$AX$32,28,FALSE)</f>
        <v>198</v>
      </c>
      <c r="AC53" s="102">
        <f>VLOOKUP(19,$A$4:$AX$32,29,FALSE)</f>
        <v>217</v>
      </c>
      <c r="AD53" s="102">
        <f>VLOOKUP(19,$A$4:$AX$32,30,FALSE)</f>
        <v>274</v>
      </c>
      <c r="AE53" s="102">
        <f>VLOOKUP(19,$A$4:$AX$32,31,FALSE)</f>
        <v>298</v>
      </c>
      <c r="AF53" s="102">
        <f>VLOOKUP(19,$A$4:$AX$32,32,FALSE)</f>
        <v>308</v>
      </c>
      <c r="AG53" s="102">
        <f>VLOOKUP(19,$A$4:$AX$32,33,FALSE)</f>
        <v>369</v>
      </c>
    </row>
    <row r="54" spans="1:33" ht="12.75">
      <c r="A54">
        <v>20</v>
      </c>
      <c r="B54" s="77" t="s">
        <v>62</v>
      </c>
      <c r="C54" s="102">
        <f>VLOOKUP(20,$A$4:$AX$32,3,FALSE)</f>
        <v>0</v>
      </c>
      <c r="D54" s="102">
        <f>VLOOKUP(20,$A$4:$AX$32,4,FALSE)</f>
        <v>0</v>
      </c>
      <c r="E54" s="102">
        <f>VLOOKUP(20,$A$4:$AX$32,5,FALSE)</f>
        <v>0</v>
      </c>
      <c r="F54" s="102">
        <f>VLOOKUP(20,$A$4:$AX$32,6,FALSE)</f>
        <v>0</v>
      </c>
      <c r="G54" s="102">
        <f>VLOOKUP(20,$A$4:$AX$32,7,FALSE)</f>
        <v>0</v>
      </c>
      <c r="H54" s="102">
        <f>VLOOKUP(20,$A$4:$AX$32,8,FALSE)</f>
        <v>0</v>
      </c>
      <c r="I54" s="102">
        <f>VLOOKUP(20,$A$4:$AX$32,9,FALSE)</f>
        <v>0</v>
      </c>
      <c r="J54" s="102">
        <f>VLOOKUP(20,$A$4:$AX$32,10,FALSE)</f>
        <v>0</v>
      </c>
      <c r="K54" s="102">
        <f>VLOOKUP(20,$A$4:$AX$32,11,FALSE)</f>
        <v>0</v>
      </c>
      <c r="L54" s="102">
        <f>VLOOKUP(20,$A$4:$AX$32,12,FALSE)</f>
        <v>0</v>
      </c>
      <c r="M54" s="102">
        <f>VLOOKUP(20,$A$4:$AX$32,13,FALSE)</f>
        <v>0</v>
      </c>
      <c r="N54" s="102">
        <f>VLOOKUP(20,$A$4:$AX$32,14,FALSE)</f>
        <v>0</v>
      </c>
      <c r="O54" s="102">
        <f>VLOOKUP(20,$A$4:$AX$32,15,FALSE)</f>
        <v>0</v>
      </c>
      <c r="P54" s="102">
        <f>VLOOKUP(20,$A$4:$AX$32,16,FALSE)</f>
        <v>0</v>
      </c>
      <c r="Q54" s="102">
        <f>VLOOKUP(20,$A$4:$AX$32,17,FALSE)</f>
        <v>0</v>
      </c>
      <c r="R54" s="102">
        <f>VLOOKUP(20,$A$4:$AX$32,18,FALSE)</f>
        <v>0</v>
      </c>
      <c r="S54" s="102">
        <f>VLOOKUP(20,$A$4:$AX$32,19,FALSE)</f>
        <v>0</v>
      </c>
      <c r="T54" s="102">
        <f>VLOOKUP(20,$A$4:$AX$32,20,FALSE)</f>
        <v>0</v>
      </c>
      <c r="U54" s="102">
        <f>VLOOKUP(20,$A$4:$AX$32,21,FALSE)</f>
        <v>2</v>
      </c>
      <c r="V54" s="102">
        <f>VLOOKUP(20,$A$4:$AX$32,22,FALSE)</f>
        <v>28</v>
      </c>
      <c r="W54" s="102">
        <f>VLOOKUP(20,$A$4:$AX$32,23,FALSE)</f>
        <v>44</v>
      </c>
      <c r="X54" s="102">
        <f>VLOOKUP(20,$A$4:$AX$32,24,FALSE)</f>
        <v>59</v>
      </c>
      <c r="Y54" s="102">
        <f>VLOOKUP(20,$A$4:$AX$32,25,FALSE)</f>
        <v>73</v>
      </c>
      <c r="Z54" s="102">
        <f>VLOOKUP(20,$A$4:$AX$32,26,FALSE)</f>
        <v>91</v>
      </c>
      <c r="AA54" s="102">
        <f>VLOOKUP(20,$A$4:$AX$32,27,FALSE)</f>
        <v>100</v>
      </c>
      <c r="AB54" s="102">
        <f>VLOOKUP(20,$A$4:$AX$32,28,FALSE)</f>
        <v>118</v>
      </c>
      <c r="AC54" s="102">
        <f>VLOOKUP(20,$A$4:$AX$32,29,FALSE)</f>
        <v>126</v>
      </c>
      <c r="AD54" s="102">
        <f>VLOOKUP(20,$A$4:$AX$32,30,FALSE)</f>
        <v>151</v>
      </c>
      <c r="AE54" s="102">
        <f>VLOOKUP(20,$A$4:$AX$32,31,FALSE)</f>
        <v>163</v>
      </c>
      <c r="AF54" s="102">
        <f>VLOOKUP(20,$A$4:$AX$32,32,FALSE)</f>
        <v>166</v>
      </c>
      <c r="AG54" s="102">
        <f>VLOOKUP(20,$A$4:$AX$32,33,FALSE)</f>
        <v>207</v>
      </c>
    </row>
    <row r="55" spans="1:33" ht="12.75">
      <c r="A55">
        <v>21</v>
      </c>
      <c r="B55" s="77" t="s">
        <v>63</v>
      </c>
      <c r="C55" s="102">
        <f>VLOOKUP(21,$A$4:$AX$32,3,FALSE)</f>
        <v>74</v>
      </c>
      <c r="D55" s="102">
        <f>VLOOKUP(21,$A$4:$AX$32,4,FALSE)</f>
        <v>67</v>
      </c>
      <c r="E55" s="102">
        <f>VLOOKUP(21,$A$4:$AX$32,5,FALSE)</f>
        <v>71</v>
      </c>
      <c r="F55" s="102">
        <f>VLOOKUP(21,$A$4:$AX$32,6,FALSE)</f>
        <v>75</v>
      </c>
      <c r="G55" s="102">
        <f>VLOOKUP(21,$A$4:$AX$32,7,FALSE)</f>
        <v>82</v>
      </c>
      <c r="H55" s="102">
        <f>VLOOKUP(21,$A$4:$AX$32,8,FALSE)</f>
        <v>81</v>
      </c>
      <c r="I55" s="102">
        <f>VLOOKUP(21,$A$4:$AX$32,9,FALSE)</f>
        <v>74</v>
      </c>
      <c r="J55" s="102">
        <f>VLOOKUP(21,$A$4:$AX$32,10,FALSE)</f>
        <v>64</v>
      </c>
      <c r="K55" s="102">
        <f>VLOOKUP(21,$A$4:$AX$32,11,FALSE)</f>
        <v>74</v>
      </c>
      <c r="L55" s="102">
        <f>VLOOKUP(21,$A$4:$AX$32,12,FALSE)</f>
        <v>64</v>
      </c>
      <c r="M55" s="102">
        <f>VLOOKUP(21,$A$4:$AX$32,13,FALSE)</f>
        <v>74</v>
      </c>
      <c r="N55" s="102">
        <f>VLOOKUP(21,$A$4:$AX$32,14,FALSE)</f>
        <v>65</v>
      </c>
      <c r="O55" s="102">
        <f>VLOOKUP(21,$A$4:$AX$32,15,FALSE)</f>
        <v>61</v>
      </c>
      <c r="P55" s="102">
        <f>VLOOKUP(21,$A$4:$AX$32,16,FALSE)</f>
        <v>71</v>
      </c>
      <c r="Q55" s="102">
        <f>VLOOKUP(21,$A$4:$AX$32,17,FALSE)</f>
        <v>68</v>
      </c>
      <c r="R55" s="102">
        <f>VLOOKUP(21,$A$4:$AX$32,18,FALSE)</f>
        <v>77</v>
      </c>
      <c r="S55" s="102">
        <f>VLOOKUP(21,$A$4:$AX$32,19,FALSE)</f>
        <v>72</v>
      </c>
      <c r="T55" s="102">
        <f>VLOOKUP(21,$A$4:$AX$32,20,FALSE)</f>
        <v>76</v>
      </c>
      <c r="U55" s="102">
        <f>VLOOKUP(21,$A$4:$AX$32,21,FALSE)</f>
        <v>63</v>
      </c>
      <c r="V55" s="102">
        <f>VLOOKUP(21,$A$4:$AX$32,22,FALSE)</f>
        <v>71</v>
      </c>
      <c r="W55" s="102">
        <f>VLOOKUP(21,$A$4:$AX$32,23,FALSE)</f>
        <v>64</v>
      </c>
      <c r="X55" s="102">
        <f>VLOOKUP(21,$A$4:$AX$32,24,FALSE)</f>
        <v>58</v>
      </c>
      <c r="Y55" s="102">
        <f>VLOOKUP(21,$A$4:$AX$32,25,FALSE)</f>
        <v>67</v>
      </c>
      <c r="Z55" s="102">
        <f>VLOOKUP(21,$A$4:$AX$32,26,FALSE)</f>
        <v>65</v>
      </c>
      <c r="AA55" s="102">
        <f>VLOOKUP(21,$A$4:$AX$32,27,FALSE)</f>
        <v>65</v>
      </c>
      <c r="AB55" s="102">
        <f>VLOOKUP(21,$A$4:$AX$32,28,FALSE)</f>
        <v>56</v>
      </c>
      <c r="AC55" s="102">
        <f>VLOOKUP(21,$A$4:$AX$32,29,FALSE)</f>
        <v>58</v>
      </c>
      <c r="AD55" s="102">
        <f>VLOOKUP(21,$A$4:$AX$32,30,FALSE)</f>
        <v>80</v>
      </c>
      <c r="AE55" s="102">
        <f>VLOOKUP(21,$A$4:$AX$32,31,FALSE)</f>
        <v>60</v>
      </c>
      <c r="AF55" s="102">
        <f>VLOOKUP(21,$A$4:$AX$32,32,FALSE)</f>
        <v>55</v>
      </c>
      <c r="AG55" s="102">
        <f>VLOOKUP(21,$A$4:$AX$32,33,FALSE)</f>
        <v>68</v>
      </c>
    </row>
    <row r="56" spans="1:33" ht="25.5">
      <c r="A56">
        <v>22</v>
      </c>
      <c r="B56" s="77" t="s">
        <v>64</v>
      </c>
      <c r="C56" s="102">
        <f>VLOOKUP(22,$A$4:$AX$32,3,FALSE)</f>
        <v>296</v>
      </c>
      <c r="D56" s="102">
        <f>VLOOKUP(22,$A$4:$AX$32,4,FALSE)</f>
        <v>241</v>
      </c>
      <c r="E56" s="102">
        <f>VLOOKUP(22,$A$4:$AX$32,5,FALSE)</f>
        <v>255</v>
      </c>
      <c r="F56" s="102">
        <f>VLOOKUP(22,$A$4:$AX$32,6,FALSE)</f>
        <v>253</v>
      </c>
      <c r="G56" s="102">
        <f>VLOOKUP(22,$A$4:$AX$32,7,FALSE)</f>
        <v>255</v>
      </c>
      <c r="H56" s="102">
        <f>VLOOKUP(22,$A$4:$AX$32,8,FALSE)</f>
        <v>293</v>
      </c>
      <c r="I56" s="102">
        <f>VLOOKUP(22,$A$4:$AX$32,9,FALSE)</f>
        <v>245</v>
      </c>
      <c r="J56" s="102">
        <f>VLOOKUP(22,$A$4:$AX$32,10,FALSE)</f>
        <v>238</v>
      </c>
      <c r="K56" s="102">
        <f>VLOOKUP(22,$A$4:$AX$32,11,FALSE)</f>
        <v>292</v>
      </c>
      <c r="L56" s="102">
        <f>VLOOKUP(22,$A$4:$AX$32,12,FALSE)</f>
        <v>233</v>
      </c>
      <c r="M56" s="102">
        <f>VLOOKUP(22,$A$4:$AX$32,13,FALSE)</f>
        <v>266</v>
      </c>
      <c r="N56" s="102">
        <f>VLOOKUP(22,$A$4:$AX$32,14,FALSE)</f>
        <v>251</v>
      </c>
      <c r="O56" s="102">
        <f>VLOOKUP(22,$A$4:$AX$32,15,FALSE)</f>
        <v>256</v>
      </c>
      <c r="P56" s="102">
        <f>VLOOKUP(22,$A$4:$AX$32,16,FALSE)</f>
        <v>255</v>
      </c>
      <c r="Q56" s="102">
        <f>VLOOKUP(22,$A$4:$AX$32,17,FALSE)</f>
        <v>243</v>
      </c>
      <c r="R56" s="102">
        <f>VLOOKUP(22,$A$4:$AX$32,18,FALSE)</f>
        <v>281</v>
      </c>
      <c r="S56" s="102">
        <f>VLOOKUP(22,$A$4:$AX$32,19,FALSE)</f>
        <v>251</v>
      </c>
      <c r="T56" s="102">
        <f>VLOOKUP(22,$A$4:$AX$32,20,FALSE)</f>
        <v>268</v>
      </c>
      <c r="U56" s="102">
        <f>VLOOKUP(22,$A$4:$AX$32,21,FALSE)</f>
        <v>250</v>
      </c>
      <c r="V56" s="102">
        <f>VLOOKUP(22,$A$4:$AX$32,22,FALSE)</f>
        <v>231</v>
      </c>
      <c r="W56" s="102">
        <f>VLOOKUP(22,$A$4:$AX$32,23,FALSE)</f>
        <v>245</v>
      </c>
      <c r="X56" s="102">
        <f>VLOOKUP(22,$A$4:$AX$32,24,FALSE)</f>
        <v>243</v>
      </c>
      <c r="Y56" s="102">
        <f>VLOOKUP(22,$A$4:$AX$32,25,FALSE)</f>
        <v>263</v>
      </c>
      <c r="Z56" s="102">
        <f>VLOOKUP(22,$A$4:$AX$32,26,FALSE)</f>
        <v>240</v>
      </c>
      <c r="AA56" s="102">
        <f>VLOOKUP(22,$A$4:$AX$32,27,FALSE)</f>
        <v>228</v>
      </c>
      <c r="AB56" s="102">
        <f>VLOOKUP(22,$A$4:$AX$32,28,FALSE)</f>
        <v>226</v>
      </c>
      <c r="AC56" s="102">
        <f>VLOOKUP(22,$A$4:$AX$32,29,FALSE)</f>
        <v>246</v>
      </c>
      <c r="AD56" s="102">
        <f>VLOOKUP(22,$A$4:$AX$32,30,FALSE)</f>
        <v>232</v>
      </c>
      <c r="AE56" s="102">
        <f>VLOOKUP(22,$A$4:$AX$32,31,FALSE)</f>
        <v>232</v>
      </c>
      <c r="AF56" s="102">
        <f>VLOOKUP(22,$A$4:$AX$32,32,FALSE)</f>
        <v>228</v>
      </c>
      <c r="AG56" s="102">
        <f>VLOOKUP(22,$A$4:$AX$32,33,FALSE)</f>
        <v>245</v>
      </c>
    </row>
    <row r="57" spans="1:33" ht="25.5">
      <c r="A57">
        <v>23</v>
      </c>
      <c r="B57" s="77" t="s">
        <v>65</v>
      </c>
      <c r="C57" s="102">
        <f>VLOOKUP(23,$A$4:$AX$32,3,FALSE)</f>
        <v>102</v>
      </c>
      <c r="D57" s="102">
        <f>VLOOKUP(23,$A$4:$AX$32,4,FALSE)</f>
        <v>110</v>
      </c>
      <c r="E57" s="102">
        <f>VLOOKUP(23,$A$4:$AX$32,5,FALSE)</f>
        <v>117</v>
      </c>
      <c r="F57" s="102">
        <f>VLOOKUP(23,$A$4:$AX$32,6,FALSE)</f>
        <v>104</v>
      </c>
      <c r="G57" s="102">
        <f>VLOOKUP(23,$A$4:$AX$32,7,FALSE)</f>
        <v>112</v>
      </c>
      <c r="H57" s="102">
        <f>VLOOKUP(23,$A$4:$AX$32,8,FALSE)</f>
        <v>106</v>
      </c>
      <c r="I57" s="102">
        <f>VLOOKUP(23,$A$4:$AX$32,9,FALSE)</f>
        <v>117</v>
      </c>
      <c r="J57" s="102">
        <f>VLOOKUP(23,$A$4:$AX$32,10,FALSE)</f>
        <v>93</v>
      </c>
      <c r="K57" s="102">
        <f>VLOOKUP(23,$A$4:$AX$32,11,FALSE)</f>
        <v>123</v>
      </c>
      <c r="L57" s="102">
        <f>VLOOKUP(23,$A$4:$AX$32,12,FALSE)</f>
        <v>115</v>
      </c>
      <c r="M57" s="102">
        <f>VLOOKUP(23,$A$4:$AX$32,13,FALSE)</f>
        <v>123</v>
      </c>
      <c r="N57" s="102">
        <f>VLOOKUP(23,$A$4:$AX$32,14,FALSE)</f>
        <v>123</v>
      </c>
      <c r="O57" s="102">
        <f>VLOOKUP(23,$A$4:$AX$32,15,FALSE)</f>
        <v>109</v>
      </c>
      <c r="P57" s="102">
        <f>VLOOKUP(23,$A$4:$AX$32,16,FALSE)</f>
        <v>120</v>
      </c>
      <c r="Q57" s="102">
        <f>VLOOKUP(23,$A$4:$AX$32,17,FALSE)</f>
        <v>122</v>
      </c>
      <c r="R57" s="102">
        <f>VLOOKUP(23,$A$4:$AX$32,18,FALSE)</f>
        <v>127</v>
      </c>
      <c r="S57" s="102">
        <f>VLOOKUP(23,$A$4:$AX$32,19,FALSE)</f>
        <v>125</v>
      </c>
      <c r="T57" s="102">
        <f>VLOOKUP(23,$A$4:$AX$32,20,FALSE)</f>
        <v>130</v>
      </c>
      <c r="U57" s="102">
        <f>VLOOKUP(23,$A$4:$AX$32,21,FALSE)</f>
        <v>133</v>
      </c>
      <c r="V57" s="102">
        <f>VLOOKUP(23,$A$4:$AX$32,22,FALSE)</f>
        <v>130</v>
      </c>
      <c r="W57" s="102">
        <f>VLOOKUP(23,$A$4:$AX$32,23,FALSE)</f>
        <v>141</v>
      </c>
      <c r="X57" s="102">
        <f>VLOOKUP(23,$A$4:$AX$32,24,FALSE)</f>
        <v>129</v>
      </c>
      <c r="Y57" s="102">
        <f>VLOOKUP(23,$A$4:$AX$32,25,FALSE)</f>
        <v>149</v>
      </c>
      <c r="Z57" s="102">
        <f>VLOOKUP(23,$A$4:$AX$32,26,FALSE)</f>
        <v>152</v>
      </c>
      <c r="AA57" s="102">
        <f>VLOOKUP(23,$A$4:$AX$32,27,FALSE)</f>
        <v>143</v>
      </c>
      <c r="AB57" s="102">
        <f>VLOOKUP(23,$A$4:$AX$32,28,FALSE)</f>
        <v>145</v>
      </c>
      <c r="AC57" s="102">
        <f>VLOOKUP(23,$A$4:$AX$32,29,FALSE)</f>
        <v>134</v>
      </c>
      <c r="AD57" s="102">
        <f>VLOOKUP(23,$A$4:$AX$32,30,FALSE)</f>
        <v>140</v>
      </c>
      <c r="AE57" s="102">
        <f>VLOOKUP(23,$A$4:$AX$32,31,FALSE)</f>
        <v>147</v>
      </c>
      <c r="AF57" s="102">
        <f>VLOOKUP(23,$A$4:$AX$32,32,FALSE)</f>
        <v>134</v>
      </c>
      <c r="AG57" s="102">
        <f>VLOOKUP(23,$A$4:$AX$32,33,FALSE)</f>
        <v>145</v>
      </c>
    </row>
    <row r="58" spans="1:33" ht="25.5">
      <c r="A58">
        <v>24</v>
      </c>
      <c r="B58" s="77" t="s">
        <v>66</v>
      </c>
      <c r="C58" s="102">
        <f>VLOOKUP(24,$A$4:$AX$32,3,FALSE)</f>
        <v>38</v>
      </c>
      <c r="D58" s="102">
        <f>VLOOKUP(24,$A$4:$AX$32,4,FALSE)</f>
        <v>37</v>
      </c>
      <c r="E58" s="102">
        <f>VLOOKUP(24,$A$4:$AX$32,5,FALSE)</f>
        <v>34</v>
      </c>
      <c r="F58" s="102">
        <f>VLOOKUP(24,$A$4:$AX$32,6,FALSE)</f>
        <v>32</v>
      </c>
      <c r="G58" s="102">
        <f>VLOOKUP(24,$A$4:$AX$32,7,FALSE)</f>
        <v>37</v>
      </c>
      <c r="H58" s="102">
        <f>VLOOKUP(24,$A$4:$AX$32,8,FALSE)</f>
        <v>34</v>
      </c>
      <c r="I58" s="102">
        <f>VLOOKUP(24,$A$4:$AX$32,9,FALSE)</f>
        <v>37</v>
      </c>
      <c r="J58" s="102">
        <f>VLOOKUP(24,$A$4:$AX$32,10,FALSE)</f>
        <v>28</v>
      </c>
      <c r="K58" s="102">
        <f>VLOOKUP(24,$A$4:$AX$32,11,FALSE)</f>
        <v>34</v>
      </c>
      <c r="L58" s="102">
        <f>VLOOKUP(24,$A$4:$AX$32,12,FALSE)</f>
        <v>30</v>
      </c>
      <c r="M58" s="102">
        <f>VLOOKUP(24,$A$4:$AX$32,13,FALSE)</f>
        <v>29</v>
      </c>
      <c r="N58" s="102">
        <f>VLOOKUP(24,$A$4:$AX$32,14,FALSE)</f>
        <v>30</v>
      </c>
      <c r="O58" s="102">
        <f>VLOOKUP(24,$A$4:$AX$32,15,FALSE)</f>
        <v>25</v>
      </c>
      <c r="P58" s="102">
        <f>VLOOKUP(24,$A$4:$AX$32,16,FALSE)</f>
        <v>29</v>
      </c>
      <c r="Q58" s="102">
        <f>VLOOKUP(24,$A$4:$AX$32,17,FALSE)</f>
        <v>28</v>
      </c>
      <c r="R58" s="102">
        <f>VLOOKUP(24,$A$4:$AX$32,18,FALSE)</f>
        <v>31</v>
      </c>
      <c r="S58" s="102">
        <f>VLOOKUP(24,$A$4:$AX$32,19,FALSE)</f>
        <v>28</v>
      </c>
      <c r="T58" s="102">
        <f>VLOOKUP(24,$A$4:$AX$32,20,FALSE)</f>
        <v>32</v>
      </c>
      <c r="U58" s="102">
        <f>VLOOKUP(24,$A$4:$AX$32,21,FALSE)</f>
        <v>30</v>
      </c>
      <c r="V58" s="102">
        <f>VLOOKUP(24,$A$4:$AX$32,22,FALSE)</f>
        <v>25</v>
      </c>
      <c r="W58" s="102">
        <f>VLOOKUP(24,$A$4:$AX$32,23,FALSE)</f>
        <v>28</v>
      </c>
      <c r="X58" s="102">
        <f>VLOOKUP(24,$A$4:$AX$32,24,FALSE)</f>
        <v>26</v>
      </c>
      <c r="Y58" s="102">
        <f>VLOOKUP(24,$A$4:$AX$32,25,FALSE)</f>
        <v>28</v>
      </c>
      <c r="Z58" s="102">
        <f>VLOOKUP(24,$A$4:$AX$32,26,FALSE)</f>
        <v>22</v>
      </c>
      <c r="AA58" s="102">
        <f>VLOOKUP(24,$A$4:$AX$32,27,FALSE)</f>
        <v>19</v>
      </c>
      <c r="AB58" s="102">
        <f>VLOOKUP(24,$A$4:$AX$32,28,FALSE)</f>
        <v>18</v>
      </c>
      <c r="AC58" s="102">
        <f>VLOOKUP(24,$A$4:$AX$32,29,FALSE)</f>
        <v>20</v>
      </c>
      <c r="AD58" s="102">
        <f>VLOOKUP(24,$A$4:$AX$32,30,FALSE)</f>
        <v>24</v>
      </c>
      <c r="AE58" s="102">
        <f>VLOOKUP(24,$A$4:$AX$32,31,FALSE)</f>
        <v>20</v>
      </c>
      <c r="AF58" s="102">
        <f>VLOOKUP(24,$A$4:$AX$32,32,FALSE)</f>
        <v>16</v>
      </c>
      <c r="AG58" s="102">
        <f>VLOOKUP(24,$A$4:$AX$32,33,FALSE)</f>
        <v>20</v>
      </c>
    </row>
    <row r="59" spans="1:33" ht="25.5">
      <c r="A59">
        <v>25</v>
      </c>
      <c r="B59" s="77" t="s">
        <v>67</v>
      </c>
      <c r="C59" s="102">
        <f>VLOOKUP(25,$A$4:$AX$32,3,FALSE)</f>
        <v>0</v>
      </c>
      <c r="D59" s="102">
        <f>VLOOKUP(25,$A$4:$AX$32,4,FALSE)</f>
        <v>0</v>
      </c>
      <c r="E59" s="102">
        <f>VLOOKUP(25,$A$4:$AX$32,5,FALSE)</f>
        <v>0</v>
      </c>
      <c r="F59" s="102">
        <f>VLOOKUP(25,$A$4:$AX$32,6,FALSE)</f>
        <v>0</v>
      </c>
      <c r="G59" s="102">
        <f>VLOOKUP(25,$A$4:$AX$32,7,FALSE)</f>
        <v>0</v>
      </c>
      <c r="H59" s="102">
        <f>VLOOKUP(25,$A$4:$AX$32,8,FALSE)</f>
        <v>0</v>
      </c>
      <c r="I59" s="102">
        <f>VLOOKUP(25,$A$4:$AX$32,9,FALSE)</f>
        <v>0</v>
      </c>
      <c r="J59" s="102">
        <f>VLOOKUP(25,$A$4:$AX$32,10,FALSE)</f>
        <v>0</v>
      </c>
      <c r="K59" s="102">
        <f>VLOOKUP(25,$A$4:$AX$32,11,FALSE)</f>
        <v>0</v>
      </c>
      <c r="L59" s="102">
        <f>VLOOKUP(25,$A$4:$AX$32,12,FALSE)</f>
        <v>0</v>
      </c>
      <c r="M59" s="102">
        <f>VLOOKUP(25,$A$4:$AX$32,13,FALSE)</f>
        <v>0</v>
      </c>
      <c r="N59" s="102">
        <f>VLOOKUP(25,$A$4:$AX$32,14,FALSE)</f>
        <v>0</v>
      </c>
      <c r="O59" s="102">
        <f>VLOOKUP(25,$A$4:$AX$32,15,FALSE)</f>
        <v>0</v>
      </c>
      <c r="P59" s="102">
        <f>VLOOKUP(25,$A$4:$AX$32,16,FALSE)</f>
        <v>0</v>
      </c>
      <c r="Q59" s="102">
        <f>VLOOKUP(25,$A$4:$AX$32,17,FALSE)</f>
        <v>0</v>
      </c>
      <c r="R59" s="102">
        <f>VLOOKUP(25,$A$4:$AX$32,18,FALSE)</f>
        <v>0</v>
      </c>
      <c r="S59" s="102">
        <f>VLOOKUP(25,$A$4:$AX$32,19,FALSE)</f>
        <v>0</v>
      </c>
      <c r="T59" s="102">
        <f>VLOOKUP(25,$A$4:$AX$32,20,FALSE)</f>
        <v>0</v>
      </c>
      <c r="U59" s="102">
        <f>VLOOKUP(25,$A$4:$AX$32,21,FALSE)</f>
        <v>0</v>
      </c>
      <c r="V59" s="102">
        <f>VLOOKUP(25,$A$4:$AX$32,22,FALSE)</f>
        <v>0</v>
      </c>
      <c r="W59" s="102">
        <f>VLOOKUP(25,$A$4:$AX$32,23,FALSE)</f>
        <v>46</v>
      </c>
      <c r="X59" s="102">
        <f>VLOOKUP(25,$A$4:$AX$32,24,FALSE)</f>
        <v>233</v>
      </c>
      <c r="Y59" s="102">
        <f>VLOOKUP(25,$A$4:$AX$32,25,FALSE)</f>
        <v>465</v>
      </c>
      <c r="Z59" s="102">
        <f>VLOOKUP(25,$A$4:$AX$32,26,FALSE)</f>
        <v>611</v>
      </c>
      <c r="AA59" s="102">
        <f>VLOOKUP(25,$A$4:$AX$32,27,FALSE)</f>
        <v>758</v>
      </c>
      <c r="AB59" s="102">
        <f>VLOOKUP(25,$A$4:$AX$32,28,FALSE)</f>
        <v>783</v>
      </c>
      <c r="AC59" s="102">
        <f>VLOOKUP(25,$A$4:$AX$32,29,FALSE)</f>
        <v>849</v>
      </c>
      <c r="AD59" s="102">
        <f>VLOOKUP(25,$A$4:$AX$32,30,FALSE)</f>
        <v>989</v>
      </c>
      <c r="AE59" s="102">
        <f>VLOOKUP(25,$A$4:$AX$32,31,FALSE)</f>
        <v>1019</v>
      </c>
      <c r="AF59" s="102">
        <f>VLOOKUP(25,$A$4:$AX$32,32,FALSE)</f>
        <v>1032</v>
      </c>
      <c r="AG59" s="102">
        <f>VLOOKUP(25,$A$4:$AX$32,33,FALSE)</f>
        <v>1155</v>
      </c>
    </row>
    <row r="60" spans="1:33" ht="25.5">
      <c r="A60">
        <v>26</v>
      </c>
      <c r="B60" s="77" t="s">
        <v>68</v>
      </c>
      <c r="C60" s="102">
        <f>VLOOKUP(26,$A$4:$AX$32,3,FALSE)</f>
        <v>2116</v>
      </c>
      <c r="D60" s="102">
        <f>VLOOKUP(26,$A$4:$AX$32,4,FALSE)</f>
        <v>2065</v>
      </c>
      <c r="E60" s="102">
        <f>VLOOKUP(26,$A$4:$AX$32,5,FALSE)</f>
        <v>2117</v>
      </c>
      <c r="F60" s="102">
        <f>VLOOKUP(26,$A$4:$AX$32,6,FALSE)</f>
        <v>2120</v>
      </c>
      <c r="G60" s="102">
        <f>VLOOKUP(26,$A$4:$AX$32,7,FALSE)</f>
        <v>2231</v>
      </c>
      <c r="H60" s="102">
        <f>VLOOKUP(26,$A$4:$AX$32,8,FALSE)</f>
        <v>2282</v>
      </c>
      <c r="I60" s="102">
        <f>VLOOKUP(26,$A$4:$AX$32,9,FALSE)</f>
        <v>2153</v>
      </c>
      <c r="J60" s="102">
        <f>VLOOKUP(26,$A$4:$AX$32,10,FALSE)</f>
        <v>1973</v>
      </c>
      <c r="K60" s="102">
        <f>VLOOKUP(26,$A$4:$AX$32,11,FALSE)</f>
        <v>2349</v>
      </c>
      <c r="L60" s="102">
        <f>VLOOKUP(26,$A$4:$AX$32,12,FALSE)</f>
        <v>2165</v>
      </c>
      <c r="M60" s="102">
        <f>VLOOKUP(26,$A$4:$AX$32,13,FALSE)</f>
        <v>2172</v>
      </c>
      <c r="N60" s="102">
        <f>VLOOKUP(26,$A$4:$AX$32,14,FALSE)</f>
        <v>2192</v>
      </c>
      <c r="O60" s="102">
        <f>VLOOKUP(26,$A$4:$AX$32,15,FALSE)</f>
        <v>2190</v>
      </c>
      <c r="P60" s="102">
        <f>VLOOKUP(26,$A$4:$AX$32,16,FALSE)</f>
        <v>2177</v>
      </c>
      <c r="Q60" s="102">
        <f>VLOOKUP(26,$A$4:$AX$32,17,FALSE)</f>
        <v>2145</v>
      </c>
      <c r="R60" s="102">
        <f>VLOOKUP(26,$A$4:$AX$32,18,FALSE)</f>
        <v>2182</v>
      </c>
      <c r="S60" s="102">
        <f>VLOOKUP(26,$A$4:$AX$32,19,FALSE)</f>
        <v>2230</v>
      </c>
      <c r="T60" s="102">
        <f>VLOOKUP(26,$A$4:$AX$32,20,FALSE)</f>
        <v>2219</v>
      </c>
      <c r="U60" s="102">
        <f>VLOOKUP(26,$A$4:$AX$32,21,FALSE)</f>
        <v>2127</v>
      </c>
      <c r="V60" s="102">
        <f>VLOOKUP(26,$A$4:$AX$32,22,FALSE)</f>
        <v>2098</v>
      </c>
      <c r="W60" s="102">
        <f>VLOOKUP(26,$A$4:$AX$32,23,FALSE)</f>
        <v>2217</v>
      </c>
      <c r="X60" s="102">
        <f>VLOOKUP(26,$A$4:$AX$32,24,FALSE)</f>
        <v>1881</v>
      </c>
      <c r="Y60" s="102">
        <f>VLOOKUP(26,$A$4:$AX$32,25,FALSE)</f>
        <v>1863</v>
      </c>
      <c r="Z60" s="102">
        <f>VLOOKUP(26,$A$4:$AX$32,26,FALSE)</f>
        <v>1686</v>
      </c>
      <c r="AA60" s="102">
        <f>VLOOKUP(26,$A$4:$AX$32,27,FALSE)</f>
        <v>1523</v>
      </c>
      <c r="AB60" s="102">
        <f>VLOOKUP(26,$A$4:$AX$32,28,FALSE)</f>
        <v>1518</v>
      </c>
      <c r="AC60" s="102">
        <f>VLOOKUP(26,$A$4:$AX$32,29,FALSE)</f>
        <v>1369</v>
      </c>
      <c r="AD60" s="102">
        <f>VLOOKUP(26,$A$4:$AX$32,30,FALSE)</f>
        <v>1429</v>
      </c>
      <c r="AE60" s="102">
        <f>VLOOKUP(26,$A$4:$AX$32,31,FALSE)</f>
        <v>1346</v>
      </c>
      <c r="AF60" s="102">
        <f>VLOOKUP(26,$A$4:$AX$32,32,FALSE)</f>
        <v>1225</v>
      </c>
      <c r="AG60" s="102">
        <f>VLOOKUP(26,$A$4:$AX$32,33,FALSE)</f>
        <v>1371</v>
      </c>
    </row>
    <row r="61" spans="1:33" ht="25.5">
      <c r="A61">
        <v>27</v>
      </c>
      <c r="B61" s="77" t="s">
        <v>69</v>
      </c>
      <c r="C61" s="102">
        <f>VLOOKUP(27,$A$4:$AX$32,3,FALSE)</f>
        <v>1936</v>
      </c>
      <c r="D61" s="102">
        <f>VLOOKUP(27,$A$4:$AX$32,4,FALSE)</f>
        <v>1870</v>
      </c>
      <c r="E61" s="102">
        <f>VLOOKUP(27,$A$4:$AX$32,5,FALSE)</f>
        <v>1962</v>
      </c>
      <c r="F61" s="102">
        <f>VLOOKUP(27,$A$4:$AX$32,6,FALSE)</f>
        <v>1901</v>
      </c>
      <c r="G61" s="102">
        <f>VLOOKUP(27,$A$4:$AX$32,7,FALSE)</f>
        <v>1931</v>
      </c>
      <c r="H61" s="102">
        <f>VLOOKUP(27,$A$4:$AX$32,8,FALSE)</f>
        <v>1928</v>
      </c>
      <c r="I61" s="102">
        <f>VLOOKUP(27,$A$4:$AX$32,9,FALSE)</f>
        <v>1830</v>
      </c>
      <c r="J61" s="102">
        <f>VLOOKUP(27,$A$4:$AX$32,10,FALSE)</f>
        <v>1650</v>
      </c>
      <c r="K61" s="102">
        <f>VLOOKUP(27,$A$4:$AX$32,11,FALSE)</f>
        <v>2043</v>
      </c>
      <c r="L61" s="102">
        <f>VLOOKUP(27,$A$4:$AX$32,12,FALSE)</f>
        <v>1855</v>
      </c>
      <c r="M61" s="102">
        <f>VLOOKUP(27,$A$4:$AX$32,13,FALSE)</f>
        <v>1913</v>
      </c>
      <c r="N61" s="102">
        <f>VLOOKUP(27,$A$4:$AX$32,14,FALSE)</f>
        <v>1891</v>
      </c>
      <c r="O61" s="102">
        <f>VLOOKUP(27,$A$4:$AX$32,15,FALSE)</f>
        <v>1822</v>
      </c>
      <c r="P61" s="102">
        <f>VLOOKUP(27,$A$4:$AX$32,16,FALSE)</f>
        <v>1833</v>
      </c>
      <c r="Q61" s="102">
        <f>VLOOKUP(27,$A$4:$AX$32,17,FALSE)</f>
        <v>1855</v>
      </c>
      <c r="R61" s="102">
        <f>VLOOKUP(27,$A$4:$AX$32,18,FALSE)</f>
        <v>1881</v>
      </c>
      <c r="S61" s="102">
        <f>VLOOKUP(27,$A$4:$AX$32,19,FALSE)</f>
        <v>1882</v>
      </c>
      <c r="T61" s="102">
        <f>VLOOKUP(27,$A$4:$AX$32,20,FALSE)</f>
        <v>1976</v>
      </c>
      <c r="U61" s="102">
        <f>VLOOKUP(27,$A$4:$AX$32,21,FALSE)</f>
        <v>1890</v>
      </c>
      <c r="V61" s="102">
        <f>VLOOKUP(27,$A$4:$AX$32,22,FALSE)</f>
        <v>1820</v>
      </c>
      <c r="W61" s="102">
        <f>VLOOKUP(27,$A$4:$AX$32,23,FALSE)</f>
        <v>1950</v>
      </c>
      <c r="X61" s="102">
        <f>VLOOKUP(27,$A$4:$AX$32,24,FALSE)</f>
        <v>1707</v>
      </c>
      <c r="Y61" s="102">
        <f>VLOOKUP(27,$A$4:$AX$32,25,FALSE)</f>
        <v>1838</v>
      </c>
      <c r="Z61" s="102">
        <f>VLOOKUP(27,$A$4:$AX$32,26,FALSE)</f>
        <v>1758</v>
      </c>
      <c r="AA61" s="102">
        <f>VLOOKUP(27,$A$4:$AX$32,27,FALSE)</f>
        <v>1581</v>
      </c>
      <c r="AB61" s="102">
        <f>VLOOKUP(27,$A$4:$AX$32,28,FALSE)</f>
        <v>1667</v>
      </c>
      <c r="AC61" s="102">
        <f>VLOOKUP(27,$A$4:$AX$32,29,FALSE)</f>
        <v>1575</v>
      </c>
      <c r="AD61" s="102">
        <f>VLOOKUP(27,$A$4:$AX$32,30,FALSE)</f>
        <v>1646</v>
      </c>
      <c r="AE61" s="102">
        <f>VLOOKUP(27,$A$4:$AX$32,31,FALSE)</f>
        <v>1580</v>
      </c>
      <c r="AF61" s="102">
        <f>VLOOKUP(27,$A$4:$AX$32,32,FALSE)</f>
        <v>1473</v>
      </c>
      <c r="AG61" s="102">
        <f>VLOOKUP(27,$A$4:$AX$32,33,FALSE)</f>
        <v>1556</v>
      </c>
    </row>
    <row r="62" spans="1:33" ht="25.5">
      <c r="A62">
        <v>28</v>
      </c>
      <c r="B62" s="77" t="s">
        <v>70</v>
      </c>
      <c r="C62" s="102">
        <f>VLOOKUP(28,$A$4:$AX$32,3,FALSE)</f>
        <v>503</v>
      </c>
      <c r="D62" s="102">
        <f>VLOOKUP(28,$A$4:$AX$32,4,FALSE)</f>
        <v>482</v>
      </c>
      <c r="E62" s="102">
        <f>VLOOKUP(28,$A$4:$AX$32,5,FALSE)</f>
        <v>488</v>
      </c>
      <c r="F62" s="102">
        <f>VLOOKUP(28,$A$4:$AX$32,6,FALSE)</f>
        <v>497</v>
      </c>
      <c r="G62" s="102">
        <f>VLOOKUP(28,$A$4:$AX$32,7,FALSE)</f>
        <v>501</v>
      </c>
      <c r="H62" s="102">
        <f>VLOOKUP(28,$A$4:$AX$32,8,FALSE)</f>
        <v>494</v>
      </c>
      <c r="I62" s="102">
        <f>VLOOKUP(28,$A$4:$AX$32,9,FALSE)</f>
        <v>459</v>
      </c>
      <c r="J62" s="102">
        <f>VLOOKUP(28,$A$4:$AX$32,10,FALSE)</f>
        <v>431</v>
      </c>
      <c r="K62" s="102">
        <f>VLOOKUP(28,$A$4:$AX$32,11,FALSE)</f>
        <v>515</v>
      </c>
      <c r="L62" s="102">
        <f>VLOOKUP(28,$A$4:$AX$32,12,FALSE)</f>
        <v>482</v>
      </c>
      <c r="M62" s="102">
        <f>VLOOKUP(28,$A$4:$AX$32,13,FALSE)</f>
        <v>472</v>
      </c>
      <c r="N62" s="102">
        <f>VLOOKUP(28,$A$4:$AX$32,14,FALSE)</f>
        <v>467</v>
      </c>
      <c r="O62" s="102">
        <f>VLOOKUP(28,$A$4:$AX$32,15,FALSE)</f>
        <v>436</v>
      </c>
      <c r="P62" s="102">
        <f>VLOOKUP(28,$A$4:$AX$32,16,FALSE)</f>
        <v>451</v>
      </c>
      <c r="Q62" s="102">
        <f>VLOOKUP(28,$A$4:$AX$32,17,FALSE)</f>
        <v>459</v>
      </c>
      <c r="R62" s="102">
        <f>VLOOKUP(28,$A$4:$AX$32,18,FALSE)</f>
        <v>472</v>
      </c>
      <c r="S62" s="102">
        <f>VLOOKUP(28,$A$4:$AX$32,19,FALSE)</f>
        <v>439</v>
      </c>
      <c r="T62" s="102">
        <f>VLOOKUP(28,$A$4:$AX$32,20,FALSE)</f>
        <v>460</v>
      </c>
      <c r="U62" s="102">
        <f>VLOOKUP(28,$A$4:$AX$32,21,FALSE)</f>
        <v>434</v>
      </c>
      <c r="V62" s="102">
        <f>VLOOKUP(28,$A$4:$AX$32,22,FALSE)</f>
        <v>435</v>
      </c>
      <c r="W62" s="102">
        <f>VLOOKUP(28,$A$4:$AX$32,23,FALSE)</f>
        <v>458</v>
      </c>
      <c r="X62" s="102">
        <f>VLOOKUP(28,$A$4:$AX$32,24,FALSE)</f>
        <v>400</v>
      </c>
      <c r="Y62" s="102">
        <f>VLOOKUP(28,$A$4:$AX$32,25,FALSE)</f>
        <v>433</v>
      </c>
      <c r="Z62" s="102">
        <f>VLOOKUP(28,$A$4:$AX$32,26,FALSE)</f>
        <v>414</v>
      </c>
      <c r="AA62" s="102">
        <f>VLOOKUP(28,$A$4:$AX$32,27,FALSE)</f>
        <v>420</v>
      </c>
      <c r="AB62" s="102">
        <f>VLOOKUP(28,$A$4:$AX$32,28,FALSE)</f>
        <v>413</v>
      </c>
      <c r="AC62" s="102">
        <f>VLOOKUP(28,$A$4:$AX$32,29,FALSE)</f>
        <v>391</v>
      </c>
      <c r="AD62" s="102">
        <f>VLOOKUP(28,$A$4:$AX$32,30,FALSE)</f>
        <v>419</v>
      </c>
      <c r="AE62" s="102">
        <f>VLOOKUP(28,$A$4:$AX$32,31,FALSE)</f>
        <v>399</v>
      </c>
      <c r="AF62" s="102">
        <f>VLOOKUP(28,$A$4:$AX$32,32,FALSE)</f>
        <v>351</v>
      </c>
      <c r="AG62" s="102">
        <f>VLOOKUP(28,$A$4:$AX$32,33,FALSE)</f>
        <v>409</v>
      </c>
    </row>
    <row r="63" spans="1:33" ht="12.75">
      <c r="A63">
        <v>29</v>
      </c>
      <c r="B63" s="77" t="s">
        <v>71</v>
      </c>
      <c r="C63" s="102">
        <f>VLOOKUP(29,$A$4:$AX$32,3,FALSE)</f>
        <v>0</v>
      </c>
      <c r="D63" s="102">
        <f>VLOOKUP(29,$A$4:$AX$32,4,FALSE)</f>
        <v>0</v>
      </c>
      <c r="E63" s="102">
        <f>VLOOKUP(29,$A$4:$AX$32,5,FALSE)</f>
        <v>0</v>
      </c>
      <c r="F63" s="102">
        <f>VLOOKUP(29,$A$4:$AX$32,6,FALSE)</f>
        <v>0</v>
      </c>
      <c r="G63" s="102">
        <f>VLOOKUP(29,$A$4:$AX$32,7,FALSE)</f>
        <v>0</v>
      </c>
      <c r="H63" s="102">
        <f>VLOOKUP(29,$A$4:$AX$32,8,FALSE)</f>
        <v>0</v>
      </c>
      <c r="I63" s="102">
        <f>VLOOKUP(29,$A$4:$AX$32,9,FALSE)</f>
        <v>0</v>
      </c>
      <c r="J63" s="102">
        <f>VLOOKUP(29,$A$4:$AX$32,10,FALSE)</f>
        <v>0</v>
      </c>
      <c r="K63" s="102">
        <f>VLOOKUP(29,$A$4:$AX$32,11,FALSE)</f>
        <v>0</v>
      </c>
      <c r="L63" s="102">
        <f>VLOOKUP(29,$A$4:$AX$32,12,FALSE)</f>
        <v>0</v>
      </c>
      <c r="M63" s="102">
        <f>VLOOKUP(29,$A$4:$AX$32,13,FALSE)</f>
        <v>0</v>
      </c>
      <c r="N63" s="102">
        <f>VLOOKUP(29,$A$4:$AX$32,14,FALSE)</f>
        <v>0</v>
      </c>
      <c r="O63" s="102">
        <f>VLOOKUP(29,$A$4:$AX$32,15,FALSE)</f>
        <v>0</v>
      </c>
      <c r="P63" s="102">
        <f>VLOOKUP(29,$A$4:$AX$32,16,FALSE)</f>
        <v>0</v>
      </c>
      <c r="Q63" s="102">
        <f>VLOOKUP(29,$A$4:$AX$32,17,FALSE)</f>
        <v>0</v>
      </c>
      <c r="R63" s="102">
        <f>VLOOKUP(29,$A$4:$AX$32,18,FALSE)</f>
        <v>0</v>
      </c>
      <c r="S63" s="102">
        <f>VLOOKUP(29,$A$4:$AX$32,19,FALSE)</f>
        <v>0</v>
      </c>
      <c r="T63" s="102">
        <f>VLOOKUP(29,$A$4:$AX$32,20,FALSE)</f>
        <v>0</v>
      </c>
      <c r="U63" s="102">
        <f>VLOOKUP(29,$A$4:$AX$32,21,FALSE)</f>
        <v>0</v>
      </c>
      <c r="V63" s="102">
        <f>VLOOKUP(29,$A$4:$AX$32,22,FALSE)</f>
        <v>0</v>
      </c>
      <c r="W63" s="102">
        <f>VLOOKUP(29,$A$4:$AX$32,23,FALSE)</f>
        <v>0</v>
      </c>
      <c r="X63" s="102">
        <f>VLOOKUP(29,$A$4:$AX$32,24,FALSE)</f>
        <v>0</v>
      </c>
      <c r="Y63" s="102">
        <f>VLOOKUP(29,$A$4:$AX$32,25,FALSE)</f>
        <v>0</v>
      </c>
      <c r="Z63" s="102">
        <f>VLOOKUP(29,$A$4:$AX$32,26,FALSE)</f>
        <v>0</v>
      </c>
      <c r="AA63" s="102">
        <f>VLOOKUP(29,$A$4:$AX$32,27,FALSE)</f>
        <v>0</v>
      </c>
      <c r="AB63" s="102">
        <f>VLOOKUP(29,$A$4:$AX$32,28,FALSE)</f>
        <v>0</v>
      </c>
      <c r="AC63" s="102">
        <f>VLOOKUP(29,$A$4:$AX$32,29,FALSE)</f>
        <v>0</v>
      </c>
      <c r="AD63" s="102">
        <f>VLOOKUP(29,$A$4:$AX$32,30,FALSE)</f>
        <v>0</v>
      </c>
      <c r="AE63" s="102">
        <f>VLOOKUP(29,$A$4:$AX$32,31,FALSE)</f>
        <v>0</v>
      </c>
      <c r="AF63" s="102">
        <f>VLOOKUP(29,$A$4:$AX$32,32,FALSE)</f>
        <v>0</v>
      </c>
      <c r="AG63" s="102">
        <f>VLOOKUP(29,$A$4:$AX$32,33,FALSE)</f>
        <v>15</v>
      </c>
    </row>
    <row r="64" spans="2:24" ht="12.75">
      <c r="B64" s="44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2:33" ht="13.5" thickBot="1">
      <c r="B65" s="9" t="s">
        <v>0</v>
      </c>
      <c r="C65" s="12">
        <v>38169</v>
      </c>
      <c r="D65" s="12">
        <v>38200</v>
      </c>
      <c r="E65" s="12">
        <v>38231</v>
      </c>
      <c r="F65" s="12">
        <v>38261</v>
      </c>
      <c r="G65" s="12">
        <v>38292</v>
      </c>
      <c r="H65" s="12">
        <v>38322</v>
      </c>
      <c r="I65" s="12">
        <v>38353</v>
      </c>
      <c r="J65" s="12">
        <v>38384</v>
      </c>
      <c r="K65" s="12">
        <v>38412</v>
      </c>
      <c r="L65" s="12">
        <v>38443</v>
      </c>
      <c r="M65" s="12">
        <v>38473</v>
      </c>
      <c r="N65" s="12">
        <v>38504</v>
      </c>
      <c r="O65" s="12">
        <v>38534</v>
      </c>
      <c r="P65" s="12">
        <v>38565</v>
      </c>
      <c r="Q65" s="12">
        <v>38596</v>
      </c>
      <c r="R65" s="12">
        <v>38626</v>
      </c>
      <c r="S65" s="12">
        <v>38657</v>
      </c>
      <c r="T65" s="12">
        <v>38687</v>
      </c>
      <c r="U65" s="12">
        <v>38718</v>
      </c>
      <c r="V65" s="12">
        <v>38749</v>
      </c>
      <c r="W65" s="12">
        <v>38777</v>
      </c>
      <c r="X65" s="12">
        <v>38808</v>
      </c>
      <c r="Y65" s="12">
        <v>38838</v>
      </c>
      <c r="Z65" s="12">
        <v>38869</v>
      </c>
      <c r="AA65" s="12">
        <v>38899</v>
      </c>
      <c r="AB65" s="12">
        <v>38930</v>
      </c>
      <c r="AC65" s="12">
        <v>38961</v>
      </c>
      <c r="AD65" s="12">
        <v>38991</v>
      </c>
      <c r="AE65" s="12">
        <v>39022</v>
      </c>
      <c r="AF65" s="12">
        <v>39052</v>
      </c>
      <c r="AG65" s="12">
        <v>39083</v>
      </c>
    </row>
    <row r="66" spans="2:33" ht="13.5" thickTop="1">
      <c r="B66" s="97" t="s">
        <v>1</v>
      </c>
      <c r="C66" s="98">
        <f aca="true" t="shared" si="0" ref="C66:X77">IF(ISERROR(C35),0,C35)</f>
        <v>0</v>
      </c>
      <c r="D66" s="98">
        <f t="shared" si="0"/>
        <v>0</v>
      </c>
      <c r="E66" s="98">
        <f t="shared" si="0"/>
        <v>0</v>
      </c>
      <c r="F66" s="98">
        <f t="shared" si="0"/>
        <v>0</v>
      </c>
      <c r="G66" s="98">
        <f t="shared" si="0"/>
        <v>0</v>
      </c>
      <c r="H66" s="98">
        <f t="shared" si="0"/>
        <v>0</v>
      </c>
      <c r="I66" s="98">
        <f t="shared" si="0"/>
        <v>0</v>
      </c>
      <c r="J66" s="98">
        <f t="shared" si="0"/>
        <v>0</v>
      </c>
      <c r="K66" s="98">
        <f t="shared" si="0"/>
        <v>0</v>
      </c>
      <c r="L66" s="98">
        <f t="shared" si="0"/>
        <v>0</v>
      </c>
      <c r="M66" s="98">
        <f t="shared" si="0"/>
        <v>0</v>
      </c>
      <c r="N66" s="98">
        <f t="shared" si="0"/>
        <v>0</v>
      </c>
      <c r="O66" s="98">
        <f t="shared" si="0"/>
        <v>0</v>
      </c>
      <c r="P66" s="98">
        <f t="shared" si="0"/>
        <v>0</v>
      </c>
      <c r="Q66" s="98">
        <f t="shared" si="0"/>
        <v>0</v>
      </c>
      <c r="R66" s="98">
        <f t="shared" si="0"/>
        <v>0</v>
      </c>
      <c r="S66" s="98">
        <f t="shared" si="0"/>
        <v>0</v>
      </c>
      <c r="T66" s="98">
        <f t="shared" si="0"/>
        <v>2</v>
      </c>
      <c r="U66" s="98">
        <f t="shared" si="0"/>
        <v>12</v>
      </c>
      <c r="V66" s="98">
        <f t="shared" si="0"/>
        <v>15</v>
      </c>
      <c r="W66" s="98">
        <f t="shared" si="0"/>
        <v>18</v>
      </c>
      <c r="X66" s="98">
        <f t="shared" si="0"/>
        <v>34</v>
      </c>
      <c r="Y66" s="98">
        <f aca="true" t="shared" si="1" ref="Y66:AG81">IF(ISERROR(Y35),0,Y35)</f>
        <v>35</v>
      </c>
      <c r="Z66" s="98">
        <f t="shared" si="1"/>
        <v>41</v>
      </c>
      <c r="AA66" s="98">
        <f t="shared" si="1"/>
        <v>42</v>
      </c>
      <c r="AB66" s="98">
        <f t="shared" si="1"/>
        <v>49</v>
      </c>
      <c r="AC66" s="98">
        <f t="shared" si="1"/>
        <v>48</v>
      </c>
      <c r="AD66" s="98">
        <f t="shared" si="1"/>
        <v>58</v>
      </c>
      <c r="AE66" s="98">
        <f t="shared" si="1"/>
        <v>63</v>
      </c>
      <c r="AF66" s="98">
        <f t="shared" si="1"/>
        <v>48</v>
      </c>
      <c r="AG66" s="98">
        <f t="shared" si="1"/>
        <v>49</v>
      </c>
    </row>
    <row r="67" spans="2:33" ht="12.75">
      <c r="B67" s="99" t="s">
        <v>2</v>
      </c>
      <c r="C67" s="98">
        <f t="shared" si="0"/>
        <v>3717</v>
      </c>
      <c r="D67" s="98">
        <f t="shared" si="0"/>
        <v>3575</v>
      </c>
      <c r="E67" s="98">
        <f t="shared" si="0"/>
        <v>3685</v>
      </c>
      <c r="F67" s="98">
        <f t="shared" si="0"/>
        <v>3648</v>
      </c>
      <c r="G67" s="98">
        <f t="shared" si="0"/>
        <v>3746</v>
      </c>
      <c r="H67" s="98">
        <f t="shared" si="0"/>
        <v>3737</v>
      </c>
      <c r="I67" s="98">
        <f t="shared" si="0"/>
        <v>3618</v>
      </c>
      <c r="J67" s="98">
        <f t="shared" si="0"/>
        <v>3255</v>
      </c>
      <c r="K67" s="98">
        <f t="shared" si="0"/>
        <v>3883</v>
      </c>
      <c r="L67" s="98">
        <f t="shared" si="0"/>
        <v>3559</v>
      </c>
      <c r="M67" s="98">
        <f t="shared" si="0"/>
        <v>3736</v>
      </c>
      <c r="N67" s="98">
        <f t="shared" si="0"/>
        <v>3712</v>
      </c>
      <c r="O67" s="98">
        <f t="shared" si="0"/>
        <v>3594</v>
      </c>
      <c r="P67" s="98">
        <f t="shared" si="0"/>
        <v>3627</v>
      </c>
      <c r="Q67" s="98">
        <f t="shared" si="0"/>
        <v>3592</v>
      </c>
      <c r="R67" s="98">
        <f t="shared" si="0"/>
        <v>3611</v>
      </c>
      <c r="S67" s="98">
        <f t="shared" si="0"/>
        <v>3685</v>
      </c>
      <c r="T67" s="98">
        <f t="shared" si="0"/>
        <v>3732</v>
      </c>
      <c r="U67" s="98">
        <f t="shared" si="0"/>
        <v>3659</v>
      </c>
      <c r="V67" s="98">
        <f t="shared" si="0"/>
        <v>3553</v>
      </c>
      <c r="W67" s="98">
        <f t="shared" si="0"/>
        <v>3772</v>
      </c>
      <c r="X67" s="98">
        <f t="shared" si="0"/>
        <v>3362</v>
      </c>
      <c r="Y67" s="98">
        <f t="shared" si="1"/>
        <v>3697</v>
      </c>
      <c r="Z67" s="98">
        <f t="shared" si="1"/>
        <v>3616</v>
      </c>
      <c r="AA67" s="98">
        <f t="shared" si="1"/>
        <v>3386</v>
      </c>
      <c r="AB67" s="98">
        <f t="shared" si="1"/>
        <v>3488</v>
      </c>
      <c r="AC67" s="98">
        <f t="shared" si="1"/>
        <v>3387</v>
      </c>
      <c r="AD67" s="98">
        <f t="shared" si="1"/>
        <v>3581</v>
      </c>
      <c r="AE67" s="98">
        <f t="shared" si="1"/>
        <v>3430</v>
      </c>
      <c r="AF67" s="98">
        <f t="shared" si="1"/>
        <v>3343</v>
      </c>
      <c r="AG67" s="98">
        <f t="shared" si="1"/>
        <v>3588</v>
      </c>
    </row>
    <row r="68" spans="2:33" ht="12.75">
      <c r="B68" s="99" t="s">
        <v>3</v>
      </c>
      <c r="C68" s="98">
        <f t="shared" si="0"/>
        <v>585</v>
      </c>
      <c r="D68" s="98">
        <f t="shared" si="0"/>
        <v>570</v>
      </c>
      <c r="E68" s="98">
        <f t="shared" si="0"/>
        <v>593</v>
      </c>
      <c r="F68" s="98">
        <f t="shared" si="0"/>
        <v>592</v>
      </c>
      <c r="G68" s="98">
        <f t="shared" si="0"/>
        <v>611</v>
      </c>
      <c r="H68" s="98">
        <f t="shared" si="0"/>
        <v>656</v>
      </c>
      <c r="I68" s="98">
        <f t="shared" si="0"/>
        <v>641</v>
      </c>
      <c r="J68" s="98">
        <f t="shared" si="0"/>
        <v>602</v>
      </c>
      <c r="K68" s="98">
        <f t="shared" si="0"/>
        <v>699</v>
      </c>
      <c r="L68" s="98">
        <f t="shared" si="0"/>
        <v>655</v>
      </c>
      <c r="M68" s="98">
        <f t="shared" si="0"/>
        <v>719</v>
      </c>
      <c r="N68" s="98">
        <f t="shared" si="0"/>
        <v>682</v>
      </c>
      <c r="O68" s="98">
        <f t="shared" si="0"/>
        <v>681</v>
      </c>
      <c r="P68" s="98">
        <f t="shared" si="0"/>
        <v>706</v>
      </c>
      <c r="Q68" s="98">
        <f t="shared" si="0"/>
        <v>696</v>
      </c>
      <c r="R68" s="98">
        <f t="shared" si="0"/>
        <v>693</v>
      </c>
      <c r="S68" s="98">
        <f t="shared" si="0"/>
        <v>708</v>
      </c>
      <c r="T68" s="98">
        <f t="shared" si="0"/>
        <v>721</v>
      </c>
      <c r="U68" s="98">
        <f t="shared" si="0"/>
        <v>682</v>
      </c>
      <c r="V68" s="98">
        <f t="shared" si="0"/>
        <v>701</v>
      </c>
      <c r="W68" s="98">
        <f t="shared" si="0"/>
        <v>722</v>
      </c>
      <c r="X68" s="98">
        <f t="shared" si="0"/>
        <v>653</v>
      </c>
      <c r="Y68" s="98">
        <f t="shared" si="1"/>
        <v>687</v>
      </c>
      <c r="Z68" s="98">
        <f t="shared" si="1"/>
        <v>680</v>
      </c>
      <c r="AA68" s="98">
        <f t="shared" si="1"/>
        <v>635</v>
      </c>
      <c r="AB68" s="98">
        <f t="shared" si="1"/>
        <v>650</v>
      </c>
      <c r="AC68" s="98">
        <f t="shared" si="1"/>
        <v>627</v>
      </c>
      <c r="AD68" s="98">
        <f t="shared" si="1"/>
        <v>658</v>
      </c>
      <c r="AE68" s="98">
        <f t="shared" si="1"/>
        <v>650</v>
      </c>
      <c r="AF68" s="98">
        <f t="shared" si="1"/>
        <v>618</v>
      </c>
      <c r="AG68" s="98">
        <f t="shared" si="1"/>
        <v>668</v>
      </c>
    </row>
    <row r="69" spans="2:33" ht="12.75">
      <c r="B69" s="99" t="s">
        <v>42</v>
      </c>
      <c r="C69" s="98">
        <f t="shared" si="0"/>
        <v>0</v>
      </c>
      <c r="D69" s="98">
        <f t="shared" si="0"/>
        <v>0</v>
      </c>
      <c r="E69" s="98">
        <f t="shared" si="0"/>
        <v>0</v>
      </c>
      <c r="F69" s="98">
        <f t="shared" si="0"/>
        <v>0</v>
      </c>
      <c r="G69" s="98">
        <f t="shared" si="0"/>
        <v>0</v>
      </c>
      <c r="H69" s="98">
        <f t="shared" si="0"/>
        <v>0</v>
      </c>
      <c r="I69" s="98">
        <f t="shared" si="0"/>
        <v>0</v>
      </c>
      <c r="J69" s="98">
        <f t="shared" si="0"/>
        <v>0</v>
      </c>
      <c r="K69" s="98">
        <f t="shared" si="0"/>
        <v>0</v>
      </c>
      <c r="L69" s="98">
        <f t="shared" si="0"/>
        <v>0</v>
      </c>
      <c r="M69" s="98">
        <f t="shared" si="0"/>
        <v>0</v>
      </c>
      <c r="N69" s="98">
        <f t="shared" si="0"/>
        <v>0</v>
      </c>
      <c r="O69" s="98">
        <f t="shared" si="0"/>
        <v>0</v>
      </c>
      <c r="P69" s="98">
        <f t="shared" si="0"/>
        <v>0</v>
      </c>
      <c r="Q69" s="98">
        <f t="shared" si="0"/>
        <v>0</v>
      </c>
      <c r="R69" s="98">
        <f t="shared" si="0"/>
        <v>0</v>
      </c>
      <c r="S69" s="98">
        <f t="shared" si="0"/>
        <v>0</v>
      </c>
      <c r="T69" s="98">
        <f t="shared" si="0"/>
        <v>0</v>
      </c>
      <c r="U69" s="98">
        <f t="shared" si="0"/>
        <v>0</v>
      </c>
      <c r="V69" s="98">
        <f t="shared" si="0"/>
        <v>0</v>
      </c>
      <c r="W69" s="98">
        <f t="shared" si="0"/>
        <v>0</v>
      </c>
      <c r="X69" s="98">
        <f t="shared" si="0"/>
        <v>0</v>
      </c>
      <c r="Y69" s="98">
        <f t="shared" si="1"/>
        <v>0</v>
      </c>
      <c r="Z69" s="98">
        <f t="shared" si="1"/>
        <v>0</v>
      </c>
      <c r="AA69" s="98">
        <f t="shared" si="1"/>
        <v>0</v>
      </c>
      <c r="AB69" s="98">
        <f t="shared" si="1"/>
        <v>0</v>
      </c>
      <c r="AC69" s="98">
        <f t="shared" si="1"/>
        <v>0</v>
      </c>
      <c r="AD69" s="98">
        <f t="shared" si="1"/>
        <v>5</v>
      </c>
      <c r="AE69" s="98">
        <f t="shared" si="1"/>
        <v>7</v>
      </c>
      <c r="AF69" s="98">
        <f t="shared" si="1"/>
        <v>14</v>
      </c>
      <c r="AG69" s="98">
        <f t="shared" si="1"/>
        <v>22</v>
      </c>
    </row>
    <row r="70" spans="2:33" ht="12.75">
      <c r="B70" s="99" t="s">
        <v>4</v>
      </c>
      <c r="C70" s="98">
        <f t="shared" si="0"/>
        <v>4236</v>
      </c>
      <c r="D70" s="98">
        <f t="shared" si="0"/>
        <v>4048</v>
      </c>
      <c r="E70" s="98">
        <f t="shared" si="0"/>
        <v>4198</v>
      </c>
      <c r="F70" s="98">
        <f t="shared" si="0"/>
        <v>4160</v>
      </c>
      <c r="G70" s="98">
        <f t="shared" si="0"/>
        <v>4277</v>
      </c>
      <c r="H70" s="98">
        <f t="shared" si="0"/>
        <v>4307</v>
      </c>
      <c r="I70" s="98">
        <f t="shared" si="0"/>
        <v>4099</v>
      </c>
      <c r="J70" s="98">
        <f t="shared" si="0"/>
        <v>3802</v>
      </c>
      <c r="K70" s="98">
        <f t="shared" si="0"/>
        <v>4434</v>
      </c>
      <c r="L70" s="98">
        <f t="shared" si="0"/>
        <v>4156</v>
      </c>
      <c r="M70" s="98">
        <f t="shared" si="0"/>
        <v>4235</v>
      </c>
      <c r="N70" s="98">
        <f t="shared" si="0"/>
        <v>4131</v>
      </c>
      <c r="O70" s="98">
        <f t="shared" si="0"/>
        <v>4012</v>
      </c>
      <c r="P70" s="98">
        <f t="shared" si="0"/>
        <v>3994</v>
      </c>
      <c r="Q70" s="98">
        <f t="shared" si="0"/>
        <v>3942</v>
      </c>
      <c r="R70" s="98">
        <f t="shared" si="0"/>
        <v>3891</v>
      </c>
      <c r="S70" s="98">
        <f t="shared" si="0"/>
        <v>3935</v>
      </c>
      <c r="T70" s="98">
        <f t="shared" si="0"/>
        <v>3952</v>
      </c>
      <c r="U70" s="98">
        <f t="shared" si="0"/>
        <v>3850</v>
      </c>
      <c r="V70" s="98">
        <f t="shared" si="0"/>
        <v>3754</v>
      </c>
      <c r="W70" s="98">
        <f t="shared" si="0"/>
        <v>3895</v>
      </c>
      <c r="X70" s="98">
        <f t="shared" si="0"/>
        <v>3613</v>
      </c>
      <c r="Y70" s="98">
        <f t="shared" si="1"/>
        <v>3837</v>
      </c>
      <c r="Z70" s="98">
        <f t="shared" si="1"/>
        <v>3742</v>
      </c>
      <c r="AA70" s="98">
        <f t="shared" si="1"/>
        <v>3625</v>
      </c>
      <c r="AB70" s="98">
        <f t="shared" si="1"/>
        <v>3686</v>
      </c>
      <c r="AC70" s="98">
        <f t="shared" si="1"/>
        <v>3457</v>
      </c>
      <c r="AD70" s="98">
        <f t="shared" si="1"/>
        <v>3714</v>
      </c>
      <c r="AE70" s="98">
        <f t="shared" si="1"/>
        <v>3612</v>
      </c>
      <c r="AF70" s="98">
        <f t="shared" si="1"/>
        <v>3399</v>
      </c>
      <c r="AG70" s="98">
        <f t="shared" si="1"/>
        <v>3759</v>
      </c>
    </row>
    <row r="71" spans="2:33" ht="12.75">
      <c r="B71" s="99" t="s">
        <v>5</v>
      </c>
      <c r="C71" s="98">
        <f t="shared" si="0"/>
        <v>1488</v>
      </c>
      <c r="D71" s="98">
        <f t="shared" si="0"/>
        <v>1445</v>
      </c>
      <c r="E71" s="98">
        <f t="shared" si="0"/>
        <v>1544</v>
      </c>
      <c r="F71" s="98">
        <f t="shared" si="0"/>
        <v>1519</v>
      </c>
      <c r="G71" s="98">
        <f t="shared" si="0"/>
        <v>1539</v>
      </c>
      <c r="H71" s="98">
        <f t="shared" si="0"/>
        <v>1583</v>
      </c>
      <c r="I71" s="98">
        <f t="shared" si="0"/>
        <v>1567</v>
      </c>
      <c r="J71" s="98">
        <f t="shared" si="0"/>
        <v>1419</v>
      </c>
      <c r="K71" s="98">
        <f t="shared" si="0"/>
        <v>1695</v>
      </c>
      <c r="L71" s="98">
        <f t="shared" si="0"/>
        <v>1588</v>
      </c>
      <c r="M71" s="98">
        <f t="shared" si="0"/>
        <v>1610</v>
      </c>
      <c r="N71" s="98">
        <f t="shared" si="0"/>
        <v>1554</v>
      </c>
      <c r="O71" s="98">
        <f t="shared" si="0"/>
        <v>1516</v>
      </c>
      <c r="P71" s="98">
        <f t="shared" si="0"/>
        <v>1485</v>
      </c>
      <c r="Q71" s="98">
        <f t="shared" si="0"/>
        <v>1527</v>
      </c>
      <c r="R71" s="98">
        <f t="shared" si="0"/>
        <v>1508</v>
      </c>
      <c r="S71" s="98">
        <f t="shared" si="0"/>
        <v>1499</v>
      </c>
      <c r="T71" s="98">
        <f t="shared" si="0"/>
        <v>1514</v>
      </c>
      <c r="U71" s="98">
        <f t="shared" si="0"/>
        <v>1464</v>
      </c>
      <c r="V71" s="98">
        <f t="shared" si="0"/>
        <v>1466</v>
      </c>
      <c r="W71" s="98">
        <f t="shared" si="0"/>
        <v>1520</v>
      </c>
      <c r="X71" s="98">
        <f t="shared" si="0"/>
        <v>1435</v>
      </c>
      <c r="Y71" s="98">
        <f t="shared" si="1"/>
        <v>1542</v>
      </c>
      <c r="Z71" s="98">
        <f t="shared" si="1"/>
        <v>1472</v>
      </c>
      <c r="AA71" s="98">
        <f t="shared" si="1"/>
        <v>1371</v>
      </c>
      <c r="AB71" s="98">
        <f t="shared" si="1"/>
        <v>1450</v>
      </c>
      <c r="AC71" s="98">
        <f t="shared" si="1"/>
        <v>1348</v>
      </c>
      <c r="AD71" s="98">
        <f t="shared" si="1"/>
        <v>1448</v>
      </c>
      <c r="AE71" s="98">
        <f t="shared" si="1"/>
        <v>1410</v>
      </c>
      <c r="AF71" s="98">
        <f t="shared" si="1"/>
        <v>1336</v>
      </c>
      <c r="AG71" s="98">
        <f t="shared" si="1"/>
        <v>1414</v>
      </c>
    </row>
    <row r="72" spans="2:33" ht="12.75">
      <c r="B72" s="99" t="s">
        <v>38</v>
      </c>
      <c r="C72" s="98">
        <f t="shared" si="0"/>
        <v>0</v>
      </c>
      <c r="D72" s="98">
        <f t="shared" si="0"/>
        <v>0</v>
      </c>
      <c r="E72" s="98">
        <f t="shared" si="0"/>
        <v>0</v>
      </c>
      <c r="F72" s="98">
        <f t="shared" si="0"/>
        <v>0</v>
      </c>
      <c r="G72" s="98">
        <f t="shared" si="0"/>
        <v>0</v>
      </c>
      <c r="H72" s="98">
        <f t="shared" si="0"/>
        <v>0</v>
      </c>
      <c r="I72" s="98">
        <f t="shared" si="0"/>
        <v>0</v>
      </c>
      <c r="J72" s="98">
        <f t="shared" si="0"/>
        <v>0</v>
      </c>
      <c r="K72" s="98">
        <f t="shared" si="0"/>
        <v>0</v>
      </c>
      <c r="L72" s="98">
        <f t="shared" si="0"/>
        <v>0</v>
      </c>
      <c r="M72" s="98">
        <f t="shared" si="0"/>
        <v>0</v>
      </c>
      <c r="N72" s="98">
        <f t="shared" si="0"/>
        <v>0</v>
      </c>
      <c r="O72" s="98">
        <f t="shared" si="0"/>
        <v>0</v>
      </c>
      <c r="P72" s="98">
        <f t="shared" si="0"/>
        <v>0</v>
      </c>
      <c r="Q72" s="98">
        <f t="shared" si="0"/>
        <v>0</v>
      </c>
      <c r="R72" s="98">
        <f t="shared" si="0"/>
        <v>0</v>
      </c>
      <c r="S72" s="98">
        <f t="shared" si="0"/>
        <v>0</v>
      </c>
      <c r="T72" s="98">
        <f t="shared" si="0"/>
        <v>0</v>
      </c>
      <c r="U72" s="98">
        <f t="shared" si="0"/>
        <v>0</v>
      </c>
      <c r="V72" s="98">
        <f t="shared" si="0"/>
        <v>0</v>
      </c>
      <c r="W72" s="98">
        <f t="shared" si="0"/>
        <v>0</v>
      </c>
      <c r="X72" s="98">
        <f t="shared" si="0"/>
        <v>0</v>
      </c>
      <c r="Y72" s="98">
        <f t="shared" si="1"/>
        <v>0</v>
      </c>
      <c r="Z72" s="98">
        <f t="shared" si="1"/>
        <v>38</v>
      </c>
      <c r="AA72" s="98">
        <f t="shared" si="1"/>
        <v>84</v>
      </c>
      <c r="AB72" s="98">
        <f t="shared" si="1"/>
        <v>102</v>
      </c>
      <c r="AC72" s="98">
        <f t="shared" si="1"/>
        <v>131</v>
      </c>
      <c r="AD72" s="98">
        <f t="shared" si="1"/>
        <v>215</v>
      </c>
      <c r="AE72" s="98">
        <f t="shared" si="1"/>
        <v>237</v>
      </c>
      <c r="AF72" s="98">
        <f t="shared" si="1"/>
        <v>263</v>
      </c>
      <c r="AG72" s="98">
        <f t="shared" si="1"/>
        <v>279</v>
      </c>
    </row>
    <row r="73" spans="2:33" ht="12.75">
      <c r="B73" s="99" t="s">
        <v>6</v>
      </c>
      <c r="C73" s="98">
        <f t="shared" si="0"/>
        <v>304</v>
      </c>
      <c r="D73" s="98">
        <f t="shared" si="0"/>
        <v>291</v>
      </c>
      <c r="E73" s="98">
        <f t="shared" si="0"/>
        <v>307</v>
      </c>
      <c r="F73" s="98">
        <f t="shared" si="0"/>
        <v>303</v>
      </c>
      <c r="G73" s="98">
        <f t="shared" si="0"/>
        <v>298</v>
      </c>
      <c r="H73" s="98">
        <f t="shared" si="0"/>
        <v>294</v>
      </c>
      <c r="I73" s="98">
        <f t="shared" si="0"/>
        <v>284</v>
      </c>
      <c r="J73" s="98">
        <f t="shared" si="0"/>
        <v>243</v>
      </c>
      <c r="K73" s="98">
        <f t="shared" si="0"/>
        <v>314</v>
      </c>
      <c r="L73" s="98">
        <f t="shared" si="0"/>
        <v>286</v>
      </c>
      <c r="M73" s="98">
        <f t="shared" si="0"/>
        <v>300</v>
      </c>
      <c r="N73" s="98">
        <f t="shared" si="0"/>
        <v>308</v>
      </c>
      <c r="O73" s="98">
        <f t="shared" si="0"/>
        <v>291</v>
      </c>
      <c r="P73" s="98">
        <f t="shared" si="0"/>
        <v>289</v>
      </c>
      <c r="Q73" s="98">
        <f t="shared" si="0"/>
        <v>300</v>
      </c>
      <c r="R73" s="98">
        <f t="shared" si="0"/>
        <v>306</v>
      </c>
      <c r="S73" s="98">
        <f t="shared" si="0"/>
        <v>310</v>
      </c>
      <c r="T73" s="98">
        <f t="shared" si="0"/>
        <v>318</v>
      </c>
      <c r="U73" s="98">
        <f t="shared" si="0"/>
        <v>311</v>
      </c>
      <c r="V73" s="98">
        <f t="shared" si="0"/>
        <v>302</v>
      </c>
      <c r="W73" s="98">
        <f t="shared" si="0"/>
        <v>331</v>
      </c>
      <c r="X73" s="98">
        <f t="shared" si="0"/>
        <v>302</v>
      </c>
      <c r="Y73" s="98">
        <f t="shared" si="1"/>
        <v>320</v>
      </c>
      <c r="Z73" s="98">
        <f t="shared" si="1"/>
        <v>315</v>
      </c>
      <c r="AA73" s="98">
        <f t="shared" si="1"/>
        <v>287</v>
      </c>
      <c r="AB73" s="98">
        <f t="shared" si="1"/>
        <v>297</v>
      </c>
      <c r="AC73" s="98">
        <f t="shared" si="1"/>
        <v>281</v>
      </c>
      <c r="AD73" s="98">
        <f t="shared" si="1"/>
        <v>317</v>
      </c>
      <c r="AE73" s="98">
        <f t="shared" si="1"/>
        <v>301</v>
      </c>
      <c r="AF73" s="98">
        <f t="shared" si="1"/>
        <v>281</v>
      </c>
      <c r="AG73" s="98">
        <f t="shared" si="1"/>
        <v>303</v>
      </c>
    </row>
    <row r="74" spans="2:33" ht="12.75">
      <c r="B74" s="99" t="s">
        <v>7</v>
      </c>
      <c r="C74" s="98">
        <f t="shared" si="0"/>
        <v>538</v>
      </c>
      <c r="D74" s="98">
        <f t="shared" si="0"/>
        <v>530</v>
      </c>
      <c r="E74" s="98">
        <f t="shared" si="0"/>
        <v>554</v>
      </c>
      <c r="F74" s="98">
        <f t="shared" si="0"/>
        <v>547</v>
      </c>
      <c r="G74" s="98">
        <f t="shared" si="0"/>
        <v>594</v>
      </c>
      <c r="H74" s="98">
        <f t="shared" si="0"/>
        <v>577</v>
      </c>
      <c r="I74" s="98">
        <f t="shared" si="0"/>
        <v>555</v>
      </c>
      <c r="J74" s="98">
        <f t="shared" si="0"/>
        <v>516</v>
      </c>
      <c r="K74" s="98">
        <f t="shared" si="0"/>
        <v>599</v>
      </c>
      <c r="L74" s="98">
        <f t="shared" si="0"/>
        <v>554</v>
      </c>
      <c r="M74" s="98">
        <f t="shared" si="0"/>
        <v>573</v>
      </c>
      <c r="N74" s="98">
        <f t="shared" si="0"/>
        <v>563</v>
      </c>
      <c r="O74" s="98">
        <f t="shared" si="0"/>
        <v>546</v>
      </c>
      <c r="P74" s="98">
        <f t="shared" si="0"/>
        <v>540</v>
      </c>
      <c r="Q74" s="98">
        <f t="shared" si="0"/>
        <v>534</v>
      </c>
      <c r="R74" s="98">
        <f t="shared" si="0"/>
        <v>539</v>
      </c>
      <c r="S74" s="98">
        <f t="shared" si="0"/>
        <v>537</v>
      </c>
      <c r="T74" s="98">
        <f t="shared" si="0"/>
        <v>545</v>
      </c>
      <c r="U74" s="98">
        <f t="shared" si="0"/>
        <v>510</v>
      </c>
      <c r="V74" s="98">
        <f t="shared" si="0"/>
        <v>512</v>
      </c>
      <c r="W74" s="98">
        <f t="shared" si="0"/>
        <v>543</v>
      </c>
      <c r="X74" s="98">
        <f t="shared" si="0"/>
        <v>501</v>
      </c>
      <c r="Y74" s="98">
        <f t="shared" si="1"/>
        <v>519</v>
      </c>
      <c r="Z74" s="98">
        <f t="shared" si="1"/>
        <v>522</v>
      </c>
      <c r="AA74" s="98">
        <f t="shared" si="1"/>
        <v>499</v>
      </c>
      <c r="AB74" s="98">
        <f t="shared" si="1"/>
        <v>501</v>
      </c>
      <c r="AC74" s="98">
        <f t="shared" si="1"/>
        <v>477</v>
      </c>
      <c r="AD74" s="98">
        <f t="shared" si="1"/>
        <v>524</v>
      </c>
      <c r="AE74" s="98">
        <f t="shared" si="1"/>
        <v>505</v>
      </c>
      <c r="AF74" s="98">
        <f t="shared" si="1"/>
        <v>482</v>
      </c>
      <c r="AG74" s="98">
        <f t="shared" si="1"/>
        <v>511</v>
      </c>
    </row>
    <row r="75" spans="2:33" ht="12.75">
      <c r="B75" s="99" t="s">
        <v>8</v>
      </c>
      <c r="C75" s="98">
        <f t="shared" si="0"/>
        <v>581</v>
      </c>
      <c r="D75" s="98">
        <f t="shared" si="0"/>
        <v>553</v>
      </c>
      <c r="E75" s="98">
        <f t="shared" si="0"/>
        <v>601</v>
      </c>
      <c r="F75" s="98">
        <f t="shared" si="0"/>
        <v>605</v>
      </c>
      <c r="G75" s="98">
        <f t="shared" si="0"/>
        <v>638</v>
      </c>
      <c r="H75" s="98">
        <f t="shared" si="0"/>
        <v>645</v>
      </c>
      <c r="I75" s="98">
        <f t="shared" si="0"/>
        <v>649</v>
      </c>
      <c r="J75" s="98">
        <f t="shared" si="0"/>
        <v>608</v>
      </c>
      <c r="K75" s="98">
        <f t="shared" si="0"/>
        <v>740</v>
      </c>
      <c r="L75" s="98">
        <f t="shared" si="0"/>
        <v>687</v>
      </c>
      <c r="M75" s="98">
        <f t="shared" si="0"/>
        <v>702</v>
      </c>
      <c r="N75" s="98">
        <f t="shared" si="0"/>
        <v>696</v>
      </c>
      <c r="O75" s="98">
        <f t="shared" si="0"/>
        <v>673</v>
      </c>
      <c r="P75" s="98">
        <f t="shared" si="0"/>
        <v>670</v>
      </c>
      <c r="Q75" s="98">
        <f t="shared" si="0"/>
        <v>677</v>
      </c>
      <c r="R75" s="98">
        <f t="shared" si="0"/>
        <v>686</v>
      </c>
      <c r="S75" s="98">
        <f t="shared" si="0"/>
        <v>679</v>
      </c>
      <c r="T75" s="98">
        <f t="shared" si="0"/>
        <v>709</v>
      </c>
      <c r="U75" s="98">
        <f t="shared" si="0"/>
        <v>688</v>
      </c>
      <c r="V75" s="98">
        <f t="shared" si="0"/>
        <v>690</v>
      </c>
      <c r="W75" s="98">
        <f t="shared" si="0"/>
        <v>734</v>
      </c>
      <c r="X75" s="98">
        <f t="shared" si="0"/>
        <v>678</v>
      </c>
      <c r="Y75" s="98">
        <f t="shared" si="1"/>
        <v>720</v>
      </c>
      <c r="Z75" s="98">
        <f t="shared" si="1"/>
        <v>699</v>
      </c>
      <c r="AA75" s="98">
        <f t="shared" si="1"/>
        <v>667</v>
      </c>
      <c r="AB75" s="98">
        <f t="shared" si="1"/>
        <v>676</v>
      </c>
      <c r="AC75" s="98">
        <f t="shared" si="1"/>
        <v>689</v>
      </c>
      <c r="AD75" s="98">
        <f t="shared" si="1"/>
        <v>734</v>
      </c>
      <c r="AE75" s="98">
        <f t="shared" si="1"/>
        <v>719</v>
      </c>
      <c r="AF75" s="98">
        <f t="shared" si="1"/>
        <v>673</v>
      </c>
      <c r="AG75" s="98">
        <f t="shared" si="1"/>
        <v>715</v>
      </c>
    </row>
    <row r="76" spans="2:33" ht="12.75">
      <c r="B76" s="99" t="s">
        <v>9</v>
      </c>
      <c r="C76" s="98">
        <f t="shared" si="0"/>
        <v>3148</v>
      </c>
      <c r="D76" s="98">
        <f t="shared" si="0"/>
        <v>3039</v>
      </c>
      <c r="E76" s="98">
        <f t="shared" si="0"/>
        <v>3207</v>
      </c>
      <c r="F76" s="98">
        <f t="shared" si="0"/>
        <v>3253</v>
      </c>
      <c r="G76" s="98">
        <f t="shared" si="0"/>
        <v>3370</v>
      </c>
      <c r="H76" s="98">
        <f t="shared" si="0"/>
        <v>3450</v>
      </c>
      <c r="I76" s="98">
        <f t="shared" si="0"/>
        <v>3462</v>
      </c>
      <c r="J76" s="98">
        <f t="shared" si="0"/>
        <v>3143</v>
      </c>
      <c r="K76" s="98">
        <f t="shared" si="0"/>
        <v>3838</v>
      </c>
      <c r="L76" s="98">
        <f t="shared" si="0"/>
        <v>3620</v>
      </c>
      <c r="M76" s="98">
        <f t="shared" si="0"/>
        <v>3696</v>
      </c>
      <c r="N76" s="98">
        <f t="shared" si="0"/>
        <v>3684</v>
      </c>
      <c r="O76" s="98">
        <f t="shared" si="0"/>
        <v>3630</v>
      </c>
      <c r="P76" s="98">
        <f t="shared" si="0"/>
        <v>3574</v>
      </c>
      <c r="Q76" s="98">
        <f t="shared" si="0"/>
        <v>3655</v>
      </c>
      <c r="R76" s="98">
        <f t="shared" si="0"/>
        <v>3665</v>
      </c>
      <c r="S76" s="98">
        <f t="shared" si="0"/>
        <v>3868</v>
      </c>
      <c r="T76" s="98">
        <f t="shared" si="0"/>
        <v>3977</v>
      </c>
      <c r="U76" s="98">
        <f t="shared" si="0"/>
        <v>3858</v>
      </c>
      <c r="V76" s="98">
        <f t="shared" si="0"/>
        <v>3867</v>
      </c>
      <c r="W76" s="98">
        <f t="shared" si="0"/>
        <v>4067</v>
      </c>
      <c r="X76" s="98">
        <f t="shared" si="0"/>
        <v>3810</v>
      </c>
      <c r="Y76" s="98">
        <f t="shared" si="1"/>
        <v>4113</v>
      </c>
      <c r="Z76" s="98">
        <f t="shared" si="1"/>
        <v>4070</v>
      </c>
      <c r="AA76" s="98">
        <f t="shared" si="1"/>
        <v>3893</v>
      </c>
      <c r="AB76" s="98">
        <f t="shared" si="1"/>
        <v>3953</v>
      </c>
      <c r="AC76" s="98">
        <f t="shared" si="1"/>
        <v>3889</v>
      </c>
      <c r="AD76" s="98">
        <f t="shared" si="1"/>
        <v>4175</v>
      </c>
      <c r="AE76" s="98">
        <f t="shared" si="1"/>
        <v>4088</v>
      </c>
      <c r="AF76" s="98">
        <f t="shared" si="1"/>
        <v>4043</v>
      </c>
      <c r="AG76" s="98">
        <f t="shared" si="1"/>
        <v>4372</v>
      </c>
    </row>
    <row r="77" spans="2:33" ht="12.75">
      <c r="B77" s="99" t="s">
        <v>10</v>
      </c>
      <c r="C77" s="98">
        <f t="shared" si="0"/>
        <v>1109</v>
      </c>
      <c r="D77" s="98">
        <f t="shared" si="0"/>
        <v>1053</v>
      </c>
      <c r="E77" s="98">
        <f t="shared" si="0"/>
        <v>1135</v>
      </c>
      <c r="F77" s="98">
        <f t="shared" si="0"/>
        <v>1136</v>
      </c>
      <c r="G77" s="98">
        <f t="shared" si="0"/>
        <v>1182</v>
      </c>
      <c r="H77" s="98">
        <f t="shared" si="0"/>
        <v>1204</v>
      </c>
      <c r="I77" s="98">
        <f t="shared" si="0"/>
        <v>1142</v>
      </c>
      <c r="J77" s="98">
        <f t="shared" si="0"/>
        <v>1106</v>
      </c>
      <c r="K77" s="98">
        <f t="shared" si="0"/>
        <v>1356</v>
      </c>
      <c r="L77" s="98">
        <f t="shared" si="0"/>
        <v>1295</v>
      </c>
      <c r="M77" s="98">
        <f t="shared" si="0"/>
        <v>1310</v>
      </c>
      <c r="N77" s="98">
        <f t="shared" si="0"/>
        <v>1274</v>
      </c>
      <c r="O77" s="98">
        <f t="shared" si="0"/>
        <v>1216</v>
      </c>
      <c r="P77" s="98">
        <f aca="true" t="shared" si="2" ref="D77:X89">IF(ISERROR(P46),0,P46)</f>
        <v>1264</v>
      </c>
      <c r="Q77" s="98">
        <f t="shared" si="2"/>
        <v>1224</v>
      </c>
      <c r="R77" s="98">
        <f t="shared" si="2"/>
        <v>1251</v>
      </c>
      <c r="S77" s="98">
        <f t="shared" si="2"/>
        <v>1300</v>
      </c>
      <c r="T77" s="98">
        <f t="shared" si="2"/>
        <v>1342</v>
      </c>
      <c r="U77" s="98">
        <f t="shared" si="2"/>
        <v>1304</v>
      </c>
      <c r="V77" s="98">
        <f t="shared" si="2"/>
        <v>1272</v>
      </c>
      <c r="W77" s="98">
        <f t="shared" si="2"/>
        <v>1374</v>
      </c>
      <c r="X77" s="98">
        <f t="shared" si="2"/>
        <v>1247</v>
      </c>
      <c r="Y77" s="98">
        <f t="shared" si="1"/>
        <v>1379</v>
      </c>
      <c r="Z77" s="98">
        <f t="shared" si="1"/>
        <v>1329</v>
      </c>
      <c r="AA77" s="98">
        <f t="shared" si="1"/>
        <v>1309</v>
      </c>
      <c r="AB77" s="98">
        <f t="shared" si="1"/>
        <v>1319</v>
      </c>
      <c r="AC77" s="98">
        <f t="shared" si="1"/>
        <v>1278</v>
      </c>
      <c r="AD77" s="98">
        <f t="shared" si="1"/>
        <v>1395</v>
      </c>
      <c r="AE77" s="98">
        <f t="shared" si="1"/>
        <v>1380</v>
      </c>
      <c r="AF77" s="98">
        <f t="shared" si="1"/>
        <v>1303</v>
      </c>
      <c r="AG77" s="98">
        <f t="shared" si="1"/>
        <v>1433</v>
      </c>
    </row>
    <row r="78" spans="2:33" ht="12.75">
      <c r="B78" s="99" t="s">
        <v>11</v>
      </c>
      <c r="C78" s="98">
        <f aca="true" t="shared" si="3" ref="C78:C93">IF(ISERROR(C47),0,C47)</f>
        <v>856</v>
      </c>
      <c r="D78" s="98">
        <f t="shared" si="2"/>
        <v>828</v>
      </c>
      <c r="E78" s="98">
        <f t="shared" si="2"/>
        <v>857</v>
      </c>
      <c r="F78" s="98">
        <f t="shared" si="2"/>
        <v>852</v>
      </c>
      <c r="G78" s="98">
        <f t="shared" si="2"/>
        <v>891</v>
      </c>
      <c r="H78" s="98">
        <f t="shared" si="2"/>
        <v>885</v>
      </c>
      <c r="I78" s="98">
        <f t="shared" si="2"/>
        <v>882</v>
      </c>
      <c r="J78" s="98">
        <f t="shared" si="2"/>
        <v>772</v>
      </c>
      <c r="K78" s="98">
        <f t="shared" si="2"/>
        <v>995</v>
      </c>
      <c r="L78" s="98">
        <f t="shared" si="2"/>
        <v>900</v>
      </c>
      <c r="M78" s="98">
        <f t="shared" si="2"/>
        <v>938</v>
      </c>
      <c r="N78" s="98">
        <f t="shared" si="2"/>
        <v>915</v>
      </c>
      <c r="O78" s="98">
        <f t="shared" si="2"/>
        <v>902</v>
      </c>
      <c r="P78" s="98">
        <f t="shared" si="2"/>
        <v>947</v>
      </c>
      <c r="Q78" s="98">
        <f t="shared" si="2"/>
        <v>919</v>
      </c>
      <c r="R78" s="98">
        <f t="shared" si="2"/>
        <v>907</v>
      </c>
      <c r="S78" s="98">
        <f t="shared" si="2"/>
        <v>930</v>
      </c>
      <c r="T78" s="98">
        <f t="shared" si="2"/>
        <v>970</v>
      </c>
      <c r="U78" s="98">
        <f t="shared" si="2"/>
        <v>971</v>
      </c>
      <c r="V78" s="98">
        <f t="shared" si="2"/>
        <v>955</v>
      </c>
      <c r="W78" s="98">
        <f t="shared" si="2"/>
        <v>1024</v>
      </c>
      <c r="X78" s="98">
        <f t="shared" si="2"/>
        <v>967</v>
      </c>
      <c r="Y78" s="98">
        <f t="shared" si="1"/>
        <v>1031</v>
      </c>
      <c r="Z78" s="98">
        <f t="shared" si="1"/>
        <v>1006</v>
      </c>
      <c r="AA78" s="98">
        <f t="shared" si="1"/>
        <v>991</v>
      </c>
      <c r="AB78" s="98">
        <f t="shared" si="1"/>
        <v>1011</v>
      </c>
      <c r="AC78" s="98">
        <f t="shared" si="1"/>
        <v>1003</v>
      </c>
      <c r="AD78" s="98">
        <f t="shared" si="1"/>
        <v>1043</v>
      </c>
      <c r="AE78" s="98">
        <f t="shared" si="1"/>
        <v>1038</v>
      </c>
      <c r="AF78" s="98">
        <f t="shared" si="1"/>
        <v>1008</v>
      </c>
      <c r="AG78" s="98">
        <f t="shared" si="1"/>
        <v>1102</v>
      </c>
    </row>
    <row r="79" spans="2:33" ht="12.75">
      <c r="B79" s="99" t="s">
        <v>12</v>
      </c>
      <c r="C79" s="98">
        <f t="shared" si="3"/>
        <v>49</v>
      </c>
      <c r="D79" s="98">
        <f t="shared" si="2"/>
        <v>38</v>
      </c>
      <c r="E79" s="98">
        <f t="shared" si="2"/>
        <v>50</v>
      </c>
      <c r="F79" s="98">
        <f t="shared" si="2"/>
        <v>58</v>
      </c>
      <c r="G79" s="98">
        <f t="shared" si="2"/>
        <v>59</v>
      </c>
      <c r="H79" s="98">
        <f t="shared" si="2"/>
        <v>74</v>
      </c>
      <c r="I79" s="98">
        <f t="shared" si="2"/>
        <v>62</v>
      </c>
      <c r="J79" s="98">
        <f t="shared" si="2"/>
        <v>59</v>
      </c>
      <c r="K79" s="98">
        <f t="shared" si="2"/>
        <v>84</v>
      </c>
      <c r="L79" s="98">
        <f t="shared" si="2"/>
        <v>78</v>
      </c>
      <c r="M79" s="98">
        <f t="shared" si="2"/>
        <v>75</v>
      </c>
      <c r="N79" s="98">
        <f t="shared" si="2"/>
        <v>87</v>
      </c>
      <c r="O79" s="98">
        <f t="shared" si="2"/>
        <v>82</v>
      </c>
      <c r="P79" s="98">
        <f t="shared" si="2"/>
        <v>80</v>
      </c>
      <c r="Q79" s="98">
        <f t="shared" si="2"/>
        <v>87</v>
      </c>
      <c r="R79" s="98">
        <f t="shared" si="2"/>
        <v>93</v>
      </c>
      <c r="S79" s="98">
        <f t="shared" si="2"/>
        <v>91</v>
      </c>
      <c r="T79" s="98">
        <f t="shared" si="2"/>
        <v>98</v>
      </c>
      <c r="U79" s="98">
        <f t="shared" si="2"/>
        <v>95</v>
      </c>
      <c r="V79" s="98">
        <f t="shared" si="2"/>
        <v>104</v>
      </c>
      <c r="W79" s="98">
        <f t="shared" si="2"/>
        <v>106</v>
      </c>
      <c r="X79" s="98">
        <f t="shared" si="2"/>
        <v>102</v>
      </c>
      <c r="Y79" s="98">
        <f t="shared" si="1"/>
        <v>118</v>
      </c>
      <c r="Z79" s="98">
        <f t="shared" si="1"/>
        <v>119</v>
      </c>
      <c r="AA79" s="98">
        <f t="shared" si="1"/>
        <v>125</v>
      </c>
      <c r="AB79" s="98">
        <f t="shared" si="1"/>
        <v>125</v>
      </c>
      <c r="AC79" s="98">
        <f t="shared" si="1"/>
        <v>123</v>
      </c>
      <c r="AD79" s="98">
        <f t="shared" si="1"/>
        <v>133</v>
      </c>
      <c r="AE79" s="98">
        <f t="shared" si="1"/>
        <v>148</v>
      </c>
      <c r="AF79" s="98">
        <f t="shared" si="1"/>
        <v>154</v>
      </c>
      <c r="AG79" s="98">
        <f t="shared" si="1"/>
        <v>176</v>
      </c>
    </row>
    <row r="80" spans="2:33" ht="12.75">
      <c r="B80" s="99" t="s">
        <v>13</v>
      </c>
      <c r="C80" s="98">
        <f t="shared" si="3"/>
        <v>0</v>
      </c>
      <c r="D80" s="98">
        <f t="shared" si="2"/>
        <v>0</v>
      </c>
      <c r="E80" s="98">
        <f t="shared" si="2"/>
        <v>0</v>
      </c>
      <c r="F80" s="98">
        <f t="shared" si="2"/>
        <v>0</v>
      </c>
      <c r="G80" s="98">
        <f t="shared" si="2"/>
        <v>0</v>
      </c>
      <c r="H80" s="98">
        <f t="shared" si="2"/>
        <v>0</v>
      </c>
      <c r="I80" s="98">
        <f t="shared" si="2"/>
        <v>0</v>
      </c>
      <c r="J80" s="98">
        <f t="shared" si="2"/>
        <v>0</v>
      </c>
      <c r="K80" s="98">
        <f t="shared" si="2"/>
        <v>0</v>
      </c>
      <c r="L80" s="98">
        <f t="shared" si="2"/>
        <v>0</v>
      </c>
      <c r="M80" s="98">
        <f t="shared" si="2"/>
        <v>0</v>
      </c>
      <c r="N80" s="98">
        <f t="shared" si="2"/>
        <v>0</v>
      </c>
      <c r="O80" s="98">
        <f t="shared" si="2"/>
        <v>0</v>
      </c>
      <c r="P80" s="98">
        <f t="shared" si="2"/>
        <v>0</v>
      </c>
      <c r="Q80" s="98">
        <f t="shared" si="2"/>
        <v>0</v>
      </c>
      <c r="R80" s="98">
        <f t="shared" si="2"/>
        <v>0</v>
      </c>
      <c r="S80" s="98">
        <f t="shared" si="2"/>
        <v>0</v>
      </c>
      <c r="T80" s="98">
        <f t="shared" si="2"/>
        <v>0</v>
      </c>
      <c r="U80" s="98">
        <f t="shared" si="2"/>
        <v>0</v>
      </c>
      <c r="V80" s="98">
        <f t="shared" si="2"/>
        <v>180</v>
      </c>
      <c r="W80" s="98">
        <f t="shared" si="2"/>
        <v>404</v>
      </c>
      <c r="X80" s="98">
        <f t="shared" si="2"/>
        <v>526</v>
      </c>
      <c r="Y80" s="98">
        <f t="shared" si="1"/>
        <v>704</v>
      </c>
      <c r="Z80" s="98">
        <f t="shared" si="1"/>
        <v>850</v>
      </c>
      <c r="AA80" s="98">
        <f t="shared" si="1"/>
        <v>942</v>
      </c>
      <c r="AB80" s="98">
        <f t="shared" si="1"/>
        <v>994</v>
      </c>
      <c r="AC80" s="98">
        <f t="shared" si="1"/>
        <v>1109</v>
      </c>
      <c r="AD80" s="98">
        <f t="shared" si="1"/>
        <v>1353</v>
      </c>
      <c r="AE80" s="98">
        <f t="shared" si="1"/>
        <v>1448</v>
      </c>
      <c r="AF80" s="98">
        <f t="shared" si="1"/>
        <v>1534</v>
      </c>
      <c r="AG80" s="98">
        <f t="shared" si="1"/>
        <v>1721</v>
      </c>
    </row>
    <row r="81" spans="2:33" ht="12.75">
      <c r="B81" s="99" t="s">
        <v>14</v>
      </c>
      <c r="C81" s="98">
        <f t="shared" si="3"/>
        <v>542</v>
      </c>
      <c r="D81" s="98">
        <f t="shared" si="2"/>
        <v>549</v>
      </c>
      <c r="E81" s="98">
        <f t="shared" si="2"/>
        <v>621</v>
      </c>
      <c r="F81" s="98">
        <f t="shared" si="2"/>
        <v>692</v>
      </c>
      <c r="G81" s="98">
        <f t="shared" si="2"/>
        <v>808</v>
      </c>
      <c r="H81" s="98">
        <f t="shared" si="2"/>
        <v>825</v>
      </c>
      <c r="I81" s="98">
        <f t="shared" si="2"/>
        <v>847</v>
      </c>
      <c r="J81" s="98">
        <f t="shared" si="2"/>
        <v>779</v>
      </c>
      <c r="K81" s="98">
        <f t="shared" si="2"/>
        <v>985</v>
      </c>
      <c r="L81" s="98">
        <f t="shared" si="2"/>
        <v>952</v>
      </c>
      <c r="M81" s="98">
        <f t="shared" si="2"/>
        <v>1003</v>
      </c>
      <c r="N81" s="98">
        <f t="shared" si="2"/>
        <v>1022</v>
      </c>
      <c r="O81" s="98">
        <f t="shared" si="2"/>
        <v>1014</v>
      </c>
      <c r="P81" s="98">
        <f t="shared" si="2"/>
        <v>1032</v>
      </c>
      <c r="Q81" s="98">
        <f t="shared" si="2"/>
        <v>1051</v>
      </c>
      <c r="R81" s="98">
        <f t="shared" si="2"/>
        <v>1065</v>
      </c>
      <c r="S81" s="98">
        <f t="shared" si="2"/>
        <v>1136</v>
      </c>
      <c r="T81" s="98">
        <f t="shared" si="2"/>
        <v>1200</v>
      </c>
      <c r="U81" s="98">
        <f t="shared" si="2"/>
        <v>1189</v>
      </c>
      <c r="V81" s="98">
        <f t="shared" si="2"/>
        <v>1191</v>
      </c>
      <c r="W81" s="98">
        <f t="shared" si="2"/>
        <v>1270</v>
      </c>
      <c r="X81" s="98">
        <f t="shared" si="2"/>
        <v>1120</v>
      </c>
      <c r="Y81" s="98">
        <f t="shared" si="1"/>
        <v>1196</v>
      </c>
      <c r="Z81" s="98">
        <f t="shared" si="1"/>
        <v>1233</v>
      </c>
      <c r="AA81" s="98">
        <f t="shared" si="1"/>
        <v>1209</v>
      </c>
      <c r="AB81" s="98">
        <f t="shared" si="1"/>
        <v>1206</v>
      </c>
      <c r="AC81" s="98">
        <f t="shared" si="1"/>
        <v>1198</v>
      </c>
      <c r="AD81" s="98">
        <f t="shared" si="1"/>
        <v>1309</v>
      </c>
      <c r="AE81" s="98">
        <f t="shared" si="1"/>
        <v>1253</v>
      </c>
      <c r="AF81" s="98">
        <f t="shared" si="1"/>
        <v>1226</v>
      </c>
      <c r="AG81" s="98">
        <f t="shared" si="1"/>
        <v>1331</v>
      </c>
    </row>
    <row r="82" spans="2:33" ht="12.75">
      <c r="B82" s="99" t="s">
        <v>15</v>
      </c>
      <c r="C82" s="98">
        <f t="shared" si="3"/>
        <v>57</v>
      </c>
      <c r="D82" s="98">
        <f t="shared" si="2"/>
        <v>46</v>
      </c>
      <c r="E82" s="98">
        <f t="shared" si="2"/>
        <v>56</v>
      </c>
      <c r="F82" s="98">
        <f t="shared" si="2"/>
        <v>57</v>
      </c>
      <c r="G82" s="98">
        <f t="shared" si="2"/>
        <v>70</v>
      </c>
      <c r="H82" s="98">
        <f t="shared" si="2"/>
        <v>67</v>
      </c>
      <c r="I82" s="98">
        <f t="shared" si="2"/>
        <v>75</v>
      </c>
      <c r="J82" s="98">
        <f t="shared" si="2"/>
        <v>68</v>
      </c>
      <c r="K82" s="98">
        <f t="shared" si="2"/>
        <v>91</v>
      </c>
      <c r="L82" s="98">
        <f t="shared" si="2"/>
        <v>78</v>
      </c>
      <c r="M82" s="98">
        <f t="shared" si="2"/>
        <v>109</v>
      </c>
      <c r="N82" s="98">
        <f t="shared" si="2"/>
        <v>97</v>
      </c>
      <c r="O82" s="98">
        <f t="shared" si="2"/>
        <v>94</v>
      </c>
      <c r="P82" s="98">
        <f t="shared" si="2"/>
        <v>110</v>
      </c>
      <c r="Q82" s="98">
        <f t="shared" si="2"/>
        <v>98</v>
      </c>
      <c r="R82" s="98">
        <f t="shared" si="2"/>
        <v>102</v>
      </c>
      <c r="S82" s="98">
        <f t="shared" si="2"/>
        <v>93</v>
      </c>
      <c r="T82" s="98">
        <f t="shared" si="2"/>
        <v>114</v>
      </c>
      <c r="U82" s="98">
        <f t="shared" si="2"/>
        <v>115</v>
      </c>
      <c r="V82" s="98">
        <f t="shared" si="2"/>
        <v>119</v>
      </c>
      <c r="W82" s="98">
        <f t="shared" si="2"/>
        <v>129</v>
      </c>
      <c r="X82" s="98">
        <f t="shared" si="2"/>
        <v>131</v>
      </c>
      <c r="Y82" s="98">
        <f aca="true" t="shared" si="4" ref="Y82:AG88">IF(ISERROR(Y51),0,Y51)</f>
        <v>150</v>
      </c>
      <c r="Z82" s="98">
        <f t="shared" si="4"/>
        <v>156</v>
      </c>
      <c r="AA82" s="98">
        <f t="shared" si="4"/>
        <v>144</v>
      </c>
      <c r="AB82" s="98">
        <f t="shared" si="4"/>
        <v>150</v>
      </c>
      <c r="AC82" s="98">
        <f t="shared" si="4"/>
        <v>146</v>
      </c>
      <c r="AD82" s="98">
        <f t="shared" si="4"/>
        <v>157</v>
      </c>
      <c r="AE82" s="98">
        <f t="shared" si="4"/>
        <v>170</v>
      </c>
      <c r="AF82" s="98">
        <f t="shared" si="4"/>
        <v>154</v>
      </c>
      <c r="AG82" s="98">
        <f t="shared" si="4"/>
        <v>183</v>
      </c>
    </row>
    <row r="83" spans="2:33" ht="12.75">
      <c r="B83" s="99" t="s">
        <v>16</v>
      </c>
      <c r="C83" s="98">
        <f t="shared" si="3"/>
        <v>0</v>
      </c>
      <c r="D83" s="98">
        <f t="shared" si="2"/>
        <v>0</v>
      </c>
      <c r="E83" s="98">
        <f t="shared" si="2"/>
        <v>0</v>
      </c>
      <c r="F83" s="98">
        <f t="shared" si="2"/>
        <v>0</v>
      </c>
      <c r="G83" s="98">
        <f t="shared" si="2"/>
        <v>0</v>
      </c>
      <c r="H83" s="98">
        <f t="shared" si="2"/>
        <v>0</v>
      </c>
      <c r="I83" s="98">
        <f t="shared" si="2"/>
        <v>43</v>
      </c>
      <c r="J83" s="98">
        <f t="shared" si="2"/>
        <v>139</v>
      </c>
      <c r="K83" s="98">
        <f t="shared" si="2"/>
        <v>316</v>
      </c>
      <c r="L83" s="98">
        <f t="shared" si="2"/>
        <v>425</v>
      </c>
      <c r="M83" s="98">
        <f t="shared" si="2"/>
        <v>527</v>
      </c>
      <c r="N83" s="98">
        <f t="shared" si="2"/>
        <v>565</v>
      </c>
      <c r="O83" s="98">
        <f t="shared" si="2"/>
        <v>576</v>
      </c>
      <c r="P83" s="98">
        <f t="shared" si="2"/>
        <v>603</v>
      </c>
      <c r="Q83" s="98">
        <f t="shared" si="2"/>
        <v>660</v>
      </c>
      <c r="R83" s="98">
        <f t="shared" si="2"/>
        <v>686</v>
      </c>
      <c r="S83" s="98">
        <f t="shared" si="2"/>
        <v>735</v>
      </c>
      <c r="T83" s="98">
        <f t="shared" si="2"/>
        <v>802</v>
      </c>
      <c r="U83" s="98">
        <f t="shared" si="2"/>
        <v>814</v>
      </c>
      <c r="V83" s="98">
        <f t="shared" si="2"/>
        <v>795</v>
      </c>
      <c r="W83" s="98">
        <f t="shared" si="2"/>
        <v>871</v>
      </c>
      <c r="X83" s="98">
        <f t="shared" si="2"/>
        <v>827</v>
      </c>
      <c r="Y83" s="98">
        <f t="shared" si="4"/>
        <v>866</v>
      </c>
      <c r="Z83" s="98">
        <f t="shared" si="4"/>
        <v>848</v>
      </c>
      <c r="AA83" s="98">
        <f t="shared" si="4"/>
        <v>804</v>
      </c>
      <c r="AB83" s="98">
        <f t="shared" si="4"/>
        <v>847</v>
      </c>
      <c r="AC83" s="98">
        <f t="shared" si="4"/>
        <v>829</v>
      </c>
      <c r="AD83" s="98">
        <f t="shared" si="4"/>
        <v>918</v>
      </c>
      <c r="AE83" s="98">
        <f t="shared" si="4"/>
        <v>928</v>
      </c>
      <c r="AF83" s="98">
        <f t="shared" si="4"/>
        <v>904</v>
      </c>
      <c r="AG83" s="98">
        <f t="shared" si="4"/>
        <v>1003</v>
      </c>
    </row>
    <row r="84" spans="2:33" ht="12.75">
      <c r="B84" s="99" t="s">
        <v>17</v>
      </c>
      <c r="C84" s="98">
        <f t="shared" si="3"/>
        <v>0</v>
      </c>
      <c r="D84" s="98">
        <f t="shared" si="2"/>
        <v>0</v>
      </c>
      <c r="E84" s="98">
        <f t="shared" si="2"/>
        <v>0</v>
      </c>
      <c r="F84" s="98">
        <f t="shared" si="2"/>
        <v>0</v>
      </c>
      <c r="G84" s="98">
        <f t="shared" si="2"/>
        <v>0</v>
      </c>
      <c r="H84" s="98">
        <f t="shared" si="2"/>
        <v>0</v>
      </c>
      <c r="I84" s="98">
        <f t="shared" si="2"/>
        <v>0</v>
      </c>
      <c r="J84" s="98">
        <f t="shared" si="2"/>
        <v>0</v>
      </c>
      <c r="K84" s="98">
        <f t="shared" si="2"/>
        <v>0</v>
      </c>
      <c r="L84" s="98">
        <f t="shared" si="2"/>
        <v>0</v>
      </c>
      <c r="M84" s="98">
        <f t="shared" si="2"/>
        <v>0</v>
      </c>
      <c r="N84" s="98">
        <f t="shared" si="2"/>
        <v>0</v>
      </c>
      <c r="O84" s="98">
        <f t="shared" si="2"/>
        <v>0</v>
      </c>
      <c r="P84" s="98">
        <f t="shared" si="2"/>
        <v>0</v>
      </c>
      <c r="Q84" s="98">
        <f t="shared" si="2"/>
        <v>0</v>
      </c>
      <c r="R84" s="98">
        <f t="shared" si="2"/>
        <v>0</v>
      </c>
      <c r="S84" s="98">
        <f t="shared" si="2"/>
        <v>0</v>
      </c>
      <c r="T84" s="98">
        <f t="shared" si="2"/>
        <v>0</v>
      </c>
      <c r="U84" s="98">
        <f t="shared" si="2"/>
        <v>11</v>
      </c>
      <c r="V84" s="98">
        <f t="shared" si="2"/>
        <v>52</v>
      </c>
      <c r="W84" s="98">
        <f t="shared" si="2"/>
        <v>94</v>
      </c>
      <c r="X84" s="98">
        <f t="shared" si="2"/>
        <v>109</v>
      </c>
      <c r="Y84" s="98">
        <f t="shared" si="4"/>
        <v>142</v>
      </c>
      <c r="Z84" s="98">
        <f t="shared" si="4"/>
        <v>171</v>
      </c>
      <c r="AA84" s="98">
        <f t="shared" si="4"/>
        <v>180</v>
      </c>
      <c r="AB84" s="98">
        <f t="shared" si="4"/>
        <v>198</v>
      </c>
      <c r="AC84" s="98">
        <f t="shared" si="4"/>
        <v>217</v>
      </c>
      <c r="AD84" s="98">
        <f t="shared" si="4"/>
        <v>274</v>
      </c>
      <c r="AE84" s="98">
        <f t="shared" si="4"/>
        <v>298</v>
      </c>
      <c r="AF84" s="98">
        <f t="shared" si="4"/>
        <v>308</v>
      </c>
      <c r="AG84" s="98">
        <f t="shared" si="4"/>
        <v>369</v>
      </c>
    </row>
    <row r="85" spans="2:33" ht="12.75">
      <c r="B85" s="99" t="s">
        <v>18</v>
      </c>
      <c r="C85" s="98">
        <f t="shared" si="3"/>
        <v>0</v>
      </c>
      <c r="D85" s="98">
        <f t="shared" si="2"/>
        <v>0</v>
      </c>
      <c r="E85" s="98">
        <f t="shared" si="2"/>
        <v>0</v>
      </c>
      <c r="F85" s="98">
        <f t="shared" si="2"/>
        <v>0</v>
      </c>
      <c r="G85" s="98">
        <f t="shared" si="2"/>
        <v>0</v>
      </c>
      <c r="H85" s="98">
        <f t="shared" si="2"/>
        <v>0</v>
      </c>
      <c r="I85" s="98">
        <f t="shared" si="2"/>
        <v>0</v>
      </c>
      <c r="J85" s="98">
        <f t="shared" si="2"/>
        <v>0</v>
      </c>
      <c r="K85" s="98">
        <f t="shared" si="2"/>
        <v>0</v>
      </c>
      <c r="L85" s="98">
        <f t="shared" si="2"/>
        <v>0</v>
      </c>
      <c r="M85" s="98">
        <f t="shared" si="2"/>
        <v>0</v>
      </c>
      <c r="N85" s="98">
        <f t="shared" si="2"/>
        <v>0</v>
      </c>
      <c r="O85" s="98">
        <f t="shared" si="2"/>
        <v>0</v>
      </c>
      <c r="P85" s="98">
        <f t="shared" si="2"/>
        <v>0</v>
      </c>
      <c r="Q85" s="98">
        <f t="shared" si="2"/>
        <v>0</v>
      </c>
      <c r="R85" s="98">
        <f t="shared" si="2"/>
        <v>0</v>
      </c>
      <c r="S85" s="98">
        <f t="shared" si="2"/>
        <v>0</v>
      </c>
      <c r="T85" s="98">
        <f t="shared" si="2"/>
        <v>0</v>
      </c>
      <c r="U85" s="98">
        <f t="shared" si="2"/>
        <v>2</v>
      </c>
      <c r="V85" s="98">
        <f t="shared" si="2"/>
        <v>28</v>
      </c>
      <c r="W85" s="98">
        <f t="shared" si="2"/>
        <v>44</v>
      </c>
      <c r="X85" s="98">
        <f t="shared" si="2"/>
        <v>59</v>
      </c>
      <c r="Y85" s="98">
        <f t="shared" si="4"/>
        <v>73</v>
      </c>
      <c r="Z85" s="98">
        <f t="shared" si="4"/>
        <v>91</v>
      </c>
      <c r="AA85" s="98">
        <f t="shared" si="4"/>
        <v>100</v>
      </c>
      <c r="AB85" s="98">
        <f t="shared" si="4"/>
        <v>118</v>
      </c>
      <c r="AC85" s="98">
        <f t="shared" si="4"/>
        <v>126</v>
      </c>
      <c r="AD85" s="98">
        <f t="shared" si="4"/>
        <v>151</v>
      </c>
      <c r="AE85" s="98">
        <f t="shared" si="4"/>
        <v>163</v>
      </c>
      <c r="AF85" s="98">
        <f t="shared" si="4"/>
        <v>166</v>
      </c>
      <c r="AG85" s="98">
        <f t="shared" si="4"/>
        <v>207</v>
      </c>
    </row>
    <row r="86" spans="2:33" ht="12.75">
      <c r="B86" s="99" t="s">
        <v>19</v>
      </c>
      <c r="C86" s="98">
        <f t="shared" si="3"/>
        <v>74</v>
      </c>
      <c r="D86" s="98">
        <f t="shared" si="2"/>
        <v>67</v>
      </c>
      <c r="E86" s="98">
        <f t="shared" si="2"/>
        <v>71</v>
      </c>
      <c r="F86" s="98">
        <f t="shared" si="2"/>
        <v>75</v>
      </c>
      <c r="G86" s="98">
        <f t="shared" si="2"/>
        <v>82</v>
      </c>
      <c r="H86" s="98">
        <f t="shared" si="2"/>
        <v>81</v>
      </c>
      <c r="I86" s="98">
        <f t="shared" si="2"/>
        <v>74</v>
      </c>
      <c r="J86" s="98">
        <f t="shared" si="2"/>
        <v>64</v>
      </c>
      <c r="K86" s="98">
        <f t="shared" si="2"/>
        <v>74</v>
      </c>
      <c r="L86" s="98">
        <f t="shared" si="2"/>
        <v>64</v>
      </c>
      <c r="M86" s="98">
        <f t="shared" si="2"/>
        <v>74</v>
      </c>
      <c r="N86" s="98">
        <f t="shared" si="2"/>
        <v>65</v>
      </c>
      <c r="O86" s="98">
        <f t="shared" si="2"/>
        <v>61</v>
      </c>
      <c r="P86" s="98">
        <f t="shared" si="2"/>
        <v>71</v>
      </c>
      <c r="Q86" s="98">
        <f t="shared" si="2"/>
        <v>68</v>
      </c>
      <c r="R86" s="98">
        <f t="shared" si="2"/>
        <v>77</v>
      </c>
      <c r="S86" s="98">
        <f t="shared" si="2"/>
        <v>72</v>
      </c>
      <c r="T86" s="98">
        <f t="shared" si="2"/>
        <v>76</v>
      </c>
      <c r="U86" s="98">
        <f t="shared" si="2"/>
        <v>63</v>
      </c>
      <c r="V86" s="98">
        <f t="shared" si="2"/>
        <v>71</v>
      </c>
      <c r="W86" s="98">
        <f t="shared" si="2"/>
        <v>64</v>
      </c>
      <c r="X86" s="98">
        <f t="shared" si="2"/>
        <v>58</v>
      </c>
      <c r="Y86" s="98">
        <f t="shared" si="4"/>
        <v>67</v>
      </c>
      <c r="Z86" s="98">
        <f t="shared" si="4"/>
        <v>65</v>
      </c>
      <c r="AA86" s="98">
        <f t="shared" si="4"/>
        <v>65</v>
      </c>
      <c r="AB86" s="98">
        <f t="shared" si="4"/>
        <v>56</v>
      </c>
      <c r="AC86" s="98">
        <f t="shared" si="4"/>
        <v>58</v>
      </c>
      <c r="AD86" s="98">
        <f t="shared" si="4"/>
        <v>80</v>
      </c>
      <c r="AE86" s="98">
        <f t="shared" si="4"/>
        <v>60</v>
      </c>
      <c r="AF86" s="98">
        <f t="shared" si="4"/>
        <v>55</v>
      </c>
      <c r="AG86" s="98">
        <f t="shared" si="4"/>
        <v>68</v>
      </c>
    </row>
    <row r="87" spans="2:33" ht="12.75">
      <c r="B87" s="99" t="s">
        <v>20</v>
      </c>
      <c r="C87" s="98">
        <f t="shared" si="3"/>
        <v>296</v>
      </c>
      <c r="D87" s="98">
        <f t="shared" si="2"/>
        <v>241</v>
      </c>
      <c r="E87" s="98">
        <f t="shared" si="2"/>
        <v>255</v>
      </c>
      <c r="F87" s="98">
        <f t="shared" si="2"/>
        <v>253</v>
      </c>
      <c r="G87" s="98">
        <f t="shared" si="2"/>
        <v>255</v>
      </c>
      <c r="H87" s="98">
        <f t="shared" si="2"/>
        <v>293</v>
      </c>
      <c r="I87" s="98">
        <f t="shared" si="2"/>
        <v>245</v>
      </c>
      <c r="J87" s="98">
        <f t="shared" si="2"/>
        <v>238</v>
      </c>
      <c r="K87" s="98">
        <f t="shared" si="2"/>
        <v>292</v>
      </c>
      <c r="L87" s="98">
        <f t="shared" si="2"/>
        <v>233</v>
      </c>
      <c r="M87" s="98">
        <f t="shared" si="2"/>
        <v>266</v>
      </c>
      <c r="N87" s="98">
        <f t="shared" si="2"/>
        <v>251</v>
      </c>
      <c r="O87" s="98">
        <f t="shared" si="2"/>
        <v>256</v>
      </c>
      <c r="P87" s="98">
        <f t="shared" si="2"/>
        <v>255</v>
      </c>
      <c r="Q87" s="98">
        <f t="shared" si="2"/>
        <v>243</v>
      </c>
      <c r="R87" s="98">
        <f t="shared" si="2"/>
        <v>281</v>
      </c>
      <c r="S87" s="98">
        <f t="shared" si="2"/>
        <v>251</v>
      </c>
      <c r="T87" s="98">
        <f t="shared" si="2"/>
        <v>268</v>
      </c>
      <c r="U87" s="98">
        <f t="shared" si="2"/>
        <v>250</v>
      </c>
      <c r="V87" s="98">
        <f t="shared" si="2"/>
        <v>231</v>
      </c>
      <c r="W87" s="98">
        <f t="shared" si="2"/>
        <v>245</v>
      </c>
      <c r="X87" s="98">
        <f t="shared" si="2"/>
        <v>243</v>
      </c>
      <c r="Y87" s="98">
        <f t="shared" si="4"/>
        <v>263</v>
      </c>
      <c r="Z87" s="98">
        <f t="shared" si="4"/>
        <v>240</v>
      </c>
      <c r="AA87" s="98">
        <f t="shared" si="4"/>
        <v>228</v>
      </c>
      <c r="AB87" s="98">
        <f t="shared" si="4"/>
        <v>226</v>
      </c>
      <c r="AC87" s="98">
        <f t="shared" si="4"/>
        <v>246</v>
      </c>
      <c r="AD87" s="98">
        <f t="shared" si="4"/>
        <v>232</v>
      </c>
      <c r="AE87" s="98">
        <f t="shared" si="4"/>
        <v>232</v>
      </c>
      <c r="AF87" s="98">
        <f t="shared" si="4"/>
        <v>228</v>
      </c>
      <c r="AG87" s="98">
        <f t="shared" si="4"/>
        <v>245</v>
      </c>
    </row>
    <row r="88" spans="2:33" ht="12.75">
      <c r="B88" s="99" t="s">
        <v>21</v>
      </c>
      <c r="C88" s="98">
        <f t="shared" si="3"/>
        <v>102</v>
      </c>
      <c r="D88" s="98">
        <f t="shared" si="2"/>
        <v>110</v>
      </c>
      <c r="E88" s="98">
        <f t="shared" si="2"/>
        <v>117</v>
      </c>
      <c r="F88" s="98">
        <f t="shared" si="2"/>
        <v>104</v>
      </c>
      <c r="G88" s="98">
        <f t="shared" si="2"/>
        <v>112</v>
      </c>
      <c r="H88" s="98">
        <f t="shared" si="2"/>
        <v>106</v>
      </c>
      <c r="I88" s="98">
        <f t="shared" si="2"/>
        <v>117</v>
      </c>
      <c r="J88" s="98">
        <f t="shared" si="2"/>
        <v>93</v>
      </c>
      <c r="K88" s="98">
        <f t="shared" si="2"/>
        <v>123</v>
      </c>
      <c r="L88" s="98">
        <f t="shared" si="2"/>
        <v>115</v>
      </c>
      <c r="M88" s="98">
        <f t="shared" si="2"/>
        <v>123</v>
      </c>
      <c r="N88" s="98">
        <f t="shared" si="2"/>
        <v>123</v>
      </c>
      <c r="O88" s="98">
        <f t="shared" si="2"/>
        <v>109</v>
      </c>
      <c r="P88" s="98">
        <f t="shared" si="2"/>
        <v>120</v>
      </c>
      <c r="Q88" s="98">
        <f t="shared" si="2"/>
        <v>122</v>
      </c>
      <c r="R88" s="98">
        <f t="shared" si="2"/>
        <v>127</v>
      </c>
      <c r="S88" s="98">
        <f t="shared" si="2"/>
        <v>125</v>
      </c>
      <c r="T88" s="98">
        <f t="shared" si="2"/>
        <v>130</v>
      </c>
      <c r="U88" s="98">
        <f t="shared" si="2"/>
        <v>133</v>
      </c>
      <c r="V88" s="98">
        <f t="shared" si="2"/>
        <v>130</v>
      </c>
      <c r="W88" s="98">
        <f t="shared" si="2"/>
        <v>141</v>
      </c>
      <c r="X88" s="98">
        <f t="shared" si="2"/>
        <v>129</v>
      </c>
      <c r="Y88" s="98">
        <f t="shared" si="4"/>
        <v>149</v>
      </c>
      <c r="Z88" s="98">
        <f t="shared" si="4"/>
        <v>152</v>
      </c>
      <c r="AA88" s="98">
        <f t="shared" si="4"/>
        <v>143</v>
      </c>
      <c r="AB88" s="98">
        <f t="shared" si="4"/>
        <v>145</v>
      </c>
      <c r="AC88" s="98">
        <f t="shared" si="4"/>
        <v>134</v>
      </c>
      <c r="AD88" s="98">
        <f t="shared" si="4"/>
        <v>140</v>
      </c>
      <c r="AE88" s="98">
        <f t="shared" si="4"/>
        <v>147</v>
      </c>
      <c r="AF88" s="98">
        <f t="shared" si="4"/>
        <v>134</v>
      </c>
      <c r="AG88" s="98">
        <f t="shared" si="4"/>
        <v>145</v>
      </c>
    </row>
    <row r="89" spans="2:33" ht="12.75">
      <c r="B89" s="99" t="s">
        <v>22</v>
      </c>
      <c r="C89" s="98">
        <f t="shared" si="3"/>
        <v>38</v>
      </c>
      <c r="D89" s="98">
        <f t="shared" si="2"/>
        <v>37</v>
      </c>
      <c r="E89" s="98">
        <f t="shared" si="2"/>
        <v>34</v>
      </c>
      <c r="F89" s="98">
        <f t="shared" si="2"/>
        <v>32</v>
      </c>
      <c r="G89" s="98">
        <f t="shared" si="2"/>
        <v>37</v>
      </c>
      <c r="H89" s="98">
        <f t="shared" si="2"/>
        <v>34</v>
      </c>
      <c r="I89" s="98">
        <f t="shared" si="2"/>
        <v>37</v>
      </c>
      <c r="J89" s="98">
        <f t="shared" si="2"/>
        <v>28</v>
      </c>
      <c r="K89" s="98">
        <f t="shared" si="2"/>
        <v>34</v>
      </c>
      <c r="L89" s="98">
        <f t="shared" si="2"/>
        <v>30</v>
      </c>
      <c r="M89" s="98">
        <f t="shared" si="2"/>
        <v>29</v>
      </c>
      <c r="N89" s="98">
        <f t="shared" si="2"/>
        <v>30</v>
      </c>
      <c r="O89" s="98">
        <f t="shared" si="2"/>
        <v>25</v>
      </c>
      <c r="P89" s="98">
        <f t="shared" si="2"/>
        <v>29</v>
      </c>
      <c r="Q89" s="98">
        <f t="shared" si="2"/>
        <v>28</v>
      </c>
      <c r="R89" s="98">
        <f t="shared" si="2"/>
        <v>31</v>
      </c>
      <c r="S89" s="98">
        <f aca="true" t="shared" si="5" ref="D89:X94">IF(ISERROR(S58),0,S58)</f>
        <v>28</v>
      </c>
      <c r="T89" s="98">
        <f t="shared" si="5"/>
        <v>32</v>
      </c>
      <c r="U89" s="98">
        <f t="shared" si="5"/>
        <v>30</v>
      </c>
      <c r="V89" s="98">
        <f t="shared" si="5"/>
        <v>25</v>
      </c>
      <c r="W89" s="98">
        <f t="shared" si="5"/>
        <v>28</v>
      </c>
      <c r="X89" s="98">
        <f t="shared" si="5"/>
        <v>26</v>
      </c>
      <c r="Y89" s="98">
        <f aca="true" t="shared" si="6" ref="Y89:AG89">IF(ISERROR(Y58),0,Y58)</f>
        <v>28</v>
      </c>
      <c r="Z89" s="98">
        <f t="shared" si="6"/>
        <v>22</v>
      </c>
      <c r="AA89" s="98">
        <f t="shared" si="6"/>
        <v>19</v>
      </c>
      <c r="AB89" s="98">
        <f t="shared" si="6"/>
        <v>18</v>
      </c>
      <c r="AC89" s="98">
        <f t="shared" si="6"/>
        <v>20</v>
      </c>
      <c r="AD89" s="98">
        <f t="shared" si="6"/>
        <v>24</v>
      </c>
      <c r="AE89" s="98">
        <f t="shared" si="6"/>
        <v>20</v>
      </c>
      <c r="AF89" s="98">
        <f t="shared" si="6"/>
        <v>16</v>
      </c>
      <c r="AG89" s="98">
        <f t="shared" si="6"/>
        <v>20</v>
      </c>
    </row>
    <row r="90" spans="2:33" ht="12.75">
      <c r="B90" s="99" t="s">
        <v>23</v>
      </c>
      <c r="C90" s="98">
        <f t="shared" si="3"/>
        <v>0</v>
      </c>
      <c r="D90" s="98">
        <f t="shared" si="5"/>
        <v>0</v>
      </c>
      <c r="E90" s="98">
        <f t="shared" si="5"/>
        <v>0</v>
      </c>
      <c r="F90" s="98">
        <f t="shared" si="5"/>
        <v>0</v>
      </c>
      <c r="G90" s="98">
        <f t="shared" si="5"/>
        <v>0</v>
      </c>
      <c r="H90" s="98">
        <f t="shared" si="5"/>
        <v>0</v>
      </c>
      <c r="I90" s="98">
        <f t="shared" si="5"/>
        <v>0</v>
      </c>
      <c r="J90" s="98">
        <f t="shared" si="5"/>
        <v>0</v>
      </c>
      <c r="K90" s="98">
        <f t="shared" si="5"/>
        <v>0</v>
      </c>
      <c r="L90" s="98">
        <f t="shared" si="5"/>
        <v>0</v>
      </c>
      <c r="M90" s="98">
        <f t="shared" si="5"/>
        <v>0</v>
      </c>
      <c r="N90" s="98">
        <f t="shared" si="5"/>
        <v>0</v>
      </c>
      <c r="O90" s="98">
        <f t="shared" si="5"/>
        <v>0</v>
      </c>
      <c r="P90" s="98">
        <f t="shared" si="5"/>
        <v>0</v>
      </c>
      <c r="Q90" s="98">
        <f t="shared" si="5"/>
        <v>0</v>
      </c>
      <c r="R90" s="98">
        <f t="shared" si="5"/>
        <v>0</v>
      </c>
      <c r="S90" s="98">
        <f t="shared" si="5"/>
        <v>0</v>
      </c>
      <c r="T90" s="98">
        <f t="shared" si="5"/>
        <v>0</v>
      </c>
      <c r="U90" s="98">
        <f t="shared" si="5"/>
        <v>0</v>
      </c>
      <c r="V90" s="98">
        <f t="shared" si="5"/>
        <v>0</v>
      </c>
      <c r="W90" s="98">
        <f t="shared" si="5"/>
        <v>46</v>
      </c>
      <c r="X90" s="98">
        <f t="shared" si="5"/>
        <v>233</v>
      </c>
      <c r="Y90" s="98">
        <f aca="true" t="shared" si="7" ref="Y90:AG90">IF(ISERROR(Y59),0,Y59)</f>
        <v>465</v>
      </c>
      <c r="Z90" s="98">
        <f t="shared" si="7"/>
        <v>611</v>
      </c>
      <c r="AA90" s="98">
        <f t="shared" si="7"/>
        <v>758</v>
      </c>
      <c r="AB90" s="98">
        <f t="shared" si="7"/>
        <v>783</v>
      </c>
      <c r="AC90" s="98">
        <f t="shared" si="7"/>
        <v>849</v>
      </c>
      <c r="AD90" s="98">
        <f t="shared" si="7"/>
        <v>989</v>
      </c>
      <c r="AE90" s="98">
        <f t="shared" si="7"/>
        <v>1019</v>
      </c>
      <c r="AF90" s="98">
        <f t="shared" si="7"/>
        <v>1032</v>
      </c>
      <c r="AG90" s="98">
        <f t="shared" si="7"/>
        <v>1155</v>
      </c>
    </row>
    <row r="91" spans="2:33" ht="12.75">
      <c r="B91" s="99" t="s">
        <v>24</v>
      </c>
      <c r="C91" s="98">
        <f t="shared" si="3"/>
        <v>2116</v>
      </c>
      <c r="D91" s="98">
        <f t="shared" si="5"/>
        <v>2065</v>
      </c>
      <c r="E91" s="98">
        <f t="shared" si="5"/>
        <v>2117</v>
      </c>
      <c r="F91" s="98">
        <f t="shared" si="5"/>
        <v>2120</v>
      </c>
      <c r="G91" s="98">
        <f t="shared" si="5"/>
        <v>2231</v>
      </c>
      <c r="H91" s="98">
        <f t="shared" si="5"/>
        <v>2282</v>
      </c>
      <c r="I91" s="98">
        <f t="shared" si="5"/>
        <v>2153</v>
      </c>
      <c r="J91" s="98">
        <f t="shared" si="5"/>
        <v>1973</v>
      </c>
      <c r="K91" s="98">
        <f t="shared" si="5"/>
        <v>2349</v>
      </c>
      <c r="L91" s="98">
        <f t="shared" si="5"/>
        <v>2165</v>
      </c>
      <c r="M91" s="98">
        <f t="shared" si="5"/>
        <v>2172</v>
      </c>
      <c r="N91" s="98">
        <f t="shared" si="5"/>
        <v>2192</v>
      </c>
      <c r="O91" s="98">
        <f t="shared" si="5"/>
        <v>2190</v>
      </c>
      <c r="P91" s="98">
        <f t="shared" si="5"/>
        <v>2177</v>
      </c>
      <c r="Q91" s="98">
        <f t="shared" si="5"/>
        <v>2145</v>
      </c>
      <c r="R91" s="98">
        <f t="shared" si="5"/>
        <v>2182</v>
      </c>
      <c r="S91" s="98">
        <f t="shared" si="5"/>
        <v>2230</v>
      </c>
      <c r="T91" s="98">
        <f t="shared" si="5"/>
        <v>2219</v>
      </c>
      <c r="U91" s="98">
        <f t="shared" si="5"/>
        <v>2127</v>
      </c>
      <c r="V91" s="98">
        <f t="shared" si="5"/>
        <v>2098</v>
      </c>
      <c r="W91" s="98">
        <f t="shared" si="5"/>
        <v>2217</v>
      </c>
      <c r="X91" s="98">
        <f t="shared" si="5"/>
        <v>1881</v>
      </c>
      <c r="Y91" s="98">
        <f aca="true" t="shared" si="8" ref="Y91:AG91">IF(ISERROR(Y60),0,Y60)</f>
        <v>1863</v>
      </c>
      <c r="Z91" s="98">
        <f t="shared" si="8"/>
        <v>1686</v>
      </c>
      <c r="AA91" s="98">
        <f t="shared" si="8"/>
        <v>1523</v>
      </c>
      <c r="AB91" s="98">
        <f t="shared" si="8"/>
        <v>1518</v>
      </c>
      <c r="AC91" s="98">
        <f t="shared" si="8"/>
        <v>1369</v>
      </c>
      <c r="AD91" s="98">
        <f t="shared" si="8"/>
        <v>1429</v>
      </c>
      <c r="AE91" s="98">
        <f t="shared" si="8"/>
        <v>1346</v>
      </c>
      <c r="AF91" s="98">
        <f t="shared" si="8"/>
        <v>1225</v>
      </c>
      <c r="AG91" s="98">
        <f t="shared" si="8"/>
        <v>1371</v>
      </c>
    </row>
    <row r="92" spans="2:33" ht="12.75">
      <c r="B92" s="99" t="s">
        <v>25</v>
      </c>
      <c r="C92" s="98">
        <f t="shared" si="3"/>
        <v>1936</v>
      </c>
      <c r="D92" s="98">
        <f t="shared" si="5"/>
        <v>1870</v>
      </c>
      <c r="E92" s="98">
        <f t="shared" si="5"/>
        <v>1962</v>
      </c>
      <c r="F92" s="98">
        <f t="shared" si="5"/>
        <v>1901</v>
      </c>
      <c r="G92" s="98">
        <f t="shared" si="5"/>
        <v>1931</v>
      </c>
      <c r="H92" s="98">
        <f t="shared" si="5"/>
        <v>1928</v>
      </c>
      <c r="I92" s="98">
        <f t="shared" si="5"/>
        <v>1830</v>
      </c>
      <c r="J92" s="98">
        <f t="shared" si="5"/>
        <v>1650</v>
      </c>
      <c r="K92" s="98">
        <f t="shared" si="5"/>
        <v>2043</v>
      </c>
      <c r="L92" s="98">
        <f t="shared" si="5"/>
        <v>1855</v>
      </c>
      <c r="M92" s="98">
        <f t="shared" si="5"/>
        <v>1913</v>
      </c>
      <c r="N92" s="98">
        <f t="shared" si="5"/>
        <v>1891</v>
      </c>
      <c r="O92" s="98">
        <f t="shared" si="5"/>
        <v>1822</v>
      </c>
      <c r="P92" s="98">
        <f t="shared" si="5"/>
        <v>1833</v>
      </c>
      <c r="Q92" s="98">
        <f t="shared" si="5"/>
        <v>1855</v>
      </c>
      <c r="R92" s="98">
        <f t="shared" si="5"/>
        <v>1881</v>
      </c>
      <c r="S92" s="98">
        <f t="shared" si="5"/>
        <v>1882</v>
      </c>
      <c r="T92" s="98">
        <f t="shared" si="5"/>
        <v>1976</v>
      </c>
      <c r="U92" s="98">
        <f t="shared" si="5"/>
        <v>1890</v>
      </c>
      <c r="V92" s="98">
        <f t="shared" si="5"/>
        <v>1820</v>
      </c>
      <c r="W92" s="98">
        <f t="shared" si="5"/>
        <v>1950</v>
      </c>
      <c r="X92" s="98">
        <f t="shared" si="5"/>
        <v>1707</v>
      </c>
      <c r="Y92" s="98">
        <f aca="true" t="shared" si="9" ref="Y92:AG92">IF(ISERROR(Y61),0,Y61)</f>
        <v>1838</v>
      </c>
      <c r="Z92" s="98">
        <f t="shared" si="9"/>
        <v>1758</v>
      </c>
      <c r="AA92" s="98">
        <f t="shared" si="9"/>
        <v>1581</v>
      </c>
      <c r="AB92" s="98">
        <f t="shared" si="9"/>
        <v>1667</v>
      </c>
      <c r="AC92" s="98">
        <f t="shared" si="9"/>
        <v>1575</v>
      </c>
      <c r="AD92" s="98">
        <f t="shared" si="9"/>
        <v>1646</v>
      </c>
      <c r="AE92" s="98">
        <f t="shared" si="9"/>
        <v>1580</v>
      </c>
      <c r="AF92" s="98">
        <f t="shared" si="9"/>
        <v>1473</v>
      </c>
      <c r="AG92" s="98">
        <f t="shared" si="9"/>
        <v>1556</v>
      </c>
    </row>
    <row r="93" spans="2:33" ht="12.75">
      <c r="B93" s="99" t="s">
        <v>26</v>
      </c>
      <c r="C93" s="98">
        <f t="shared" si="3"/>
        <v>503</v>
      </c>
      <c r="D93" s="98">
        <f t="shared" si="5"/>
        <v>482</v>
      </c>
      <c r="E93" s="98">
        <f t="shared" si="5"/>
        <v>488</v>
      </c>
      <c r="F93" s="98">
        <f t="shared" si="5"/>
        <v>497</v>
      </c>
      <c r="G93" s="98">
        <f t="shared" si="5"/>
        <v>501</v>
      </c>
      <c r="H93" s="98">
        <f t="shared" si="5"/>
        <v>494</v>
      </c>
      <c r="I93" s="98">
        <f t="shared" si="5"/>
        <v>459</v>
      </c>
      <c r="J93" s="98">
        <f t="shared" si="5"/>
        <v>431</v>
      </c>
      <c r="K93" s="98">
        <f t="shared" si="5"/>
        <v>515</v>
      </c>
      <c r="L93" s="98">
        <f t="shared" si="5"/>
        <v>482</v>
      </c>
      <c r="M93" s="98">
        <f t="shared" si="5"/>
        <v>472</v>
      </c>
      <c r="N93" s="98">
        <f t="shared" si="5"/>
        <v>467</v>
      </c>
      <c r="O93" s="98">
        <f t="shared" si="5"/>
        <v>436</v>
      </c>
      <c r="P93" s="98">
        <f t="shared" si="5"/>
        <v>451</v>
      </c>
      <c r="Q93" s="98">
        <f t="shared" si="5"/>
        <v>459</v>
      </c>
      <c r="R93" s="98">
        <f t="shared" si="5"/>
        <v>472</v>
      </c>
      <c r="S93" s="98">
        <f t="shared" si="5"/>
        <v>439</v>
      </c>
      <c r="T93" s="98">
        <f t="shared" si="5"/>
        <v>460</v>
      </c>
      <c r="U93" s="98">
        <f t="shared" si="5"/>
        <v>434</v>
      </c>
      <c r="V93" s="98">
        <f t="shared" si="5"/>
        <v>435</v>
      </c>
      <c r="W93" s="98">
        <f t="shared" si="5"/>
        <v>458</v>
      </c>
      <c r="X93" s="98">
        <f t="shared" si="5"/>
        <v>400</v>
      </c>
      <c r="Y93" s="98">
        <f aca="true" t="shared" si="10" ref="Y93:AG93">IF(ISERROR(Y62),0,Y62)</f>
        <v>433</v>
      </c>
      <c r="Z93" s="98">
        <f t="shared" si="10"/>
        <v>414</v>
      </c>
      <c r="AA93" s="98">
        <f t="shared" si="10"/>
        <v>420</v>
      </c>
      <c r="AB93" s="98">
        <f t="shared" si="10"/>
        <v>413</v>
      </c>
      <c r="AC93" s="98">
        <f t="shared" si="10"/>
        <v>391</v>
      </c>
      <c r="AD93" s="98">
        <f t="shared" si="10"/>
        <v>419</v>
      </c>
      <c r="AE93" s="98">
        <f t="shared" si="10"/>
        <v>399</v>
      </c>
      <c r="AF93" s="98">
        <f t="shared" si="10"/>
        <v>351</v>
      </c>
      <c r="AG93" s="98">
        <f t="shared" si="10"/>
        <v>409</v>
      </c>
    </row>
    <row r="94" spans="2:33" ht="12.75">
      <c r="B94" s="99" t="s">
        <v>71</v>
      </c>
      <c r="C94" s="98">
        <f>IF(ISERROR(C63),0,C63)</f>
        <v>0</v>
      </c>
      <c r="D94" s="98">
        <f t="shared" si="5"/>
        <v>0</v>
      </c>
      <c r="E94" s="98">
        <f t="shared" si="5"/>
        <v>0</v>
      </c>
      <c r="F94" s="98">
        <f t="shared" si="5"/>
        <v>0</v>
      </c>
      <c r="G94" s="98">
        <f t="shared" si="5"/>
        <v>0</v>
      </c>
      <c r="H94" s="98">
        <f t="shared" si="5"/>
        <v>0</v>
      </c>
      <c r="I94" s="98">
        <f t="shared" si="5"/>
        <v>0</v>
      </c>
      <c r="J94" s="98">
        <f t="shared" si="5"/>
        <v>0</v>
      </c>
      <c r="K94" s="98">
        <f t="shared" si="5"/>
        <v>0</v>
      </c>
      <c r="L94" s="98">
        <f t="shared" si="5"/>
        <v>0</v>
      </c>
      <c r="M94" s="98">
        <f t="shared" si="5"/>
        <v>0</v>
      </c>
      <c r="N94" s="98">
        <f t="shared" si="5"/>
        <v>0</v>
      </c>
      <c r="O94" s="98">
        <f t="shared" si="5"/>
        <v>0</v>
      </c>
      <c r="P94" s="98">
        <f t="shared" si="5"/>
        <v>0</v>
      </c>
      <c r="Q94" s="98">
        <f t="shared" si="5"/>
        <v>0</v>
      </c>
      <c r="R94" s="98">
        <f t="shared" si="5"/>
        <v>0</v>
      </c>
      <c r="S94" s="98">
        <f t="shared" si="5"/>
        <v>0</v>
      </c>
      <c r="T94" s="98">
        <f t="shared" si="5"/>
        <v>0</v>
      </c>
      <c r="U94" s="98">
        <f t="shared" si="5"/>
        <v>0</v>
      </c>
      <c r="V94" s="98">
        <f t="shared" si="5"/>
        <v>0</v>
      </c>
      <c r="W94" s="98">
        <f t="shared" si="5"/>
        <v>0</v>
      </c>
      <c r="X94" s="98">
        <f t="shared" si="5"/>
        <v>0</v>
      </c>
      <c r="Y94" s="98">
        <f aca="true" t="shared" si="11" ref="Y94:AG94">IF(ISERROR(Y63),0,Y63)</f>
        <v>0</v>
      </c>
      <c r="Z94" s="98">
        <f t="shared" si="11"/>
        <v>0</v>
      </c>
      <c r="AA94" s="98">
        <f t="shared" si="11"/>
        <v>0</v>
      </c>
      <c r="AB94" s="98">
        <f t="shared" si="11"/>
        <v>0</v>
      </c>
      <c r="AC94" s="98">
        <f t="shared" si="11"/>
        <v>0</v>
      </c>
      <c r="AD94" s="98">
        <f t="shared" si="11"/>
        <v>0</v>
      </c>
      <c r="AE94" s="98">
        <f t="shared" si="11"/>
        <v>0</v>
      </c>
      <c r="AF94" s="98">
        <f t="shared" si="11"/>
        <v>0</v>
      </c>
      <c r="AG94" s="98">
        <f t="shared" si="11"/>
        <v>15</v>
      </c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33" ht="13.5" thickBot="1">
      <c r="B96" s="54" t="s">
        <v>0</v>
      </c>
      <c r="C96" s="55">
        <v>38169</v>
      </c>
      <c r="D96" s="55">
        <v>38200</v>
      </c>
      <c r="E96" s="55">
        <v>38231</v>
      </c>
      <c r="F96" s="55">
        <v>38261</v>
      </c>
      <c r="G96" s="55">
        <v>38292</v>
      </c>
      <c r="H96" s="55">
        <v>38322</v>
      </c>
      <c r="I96" s="55">
        <v>38353</v>
      </c>
      <c r="J96" s="55">
        <v>38384</v>
      </c>
      <c r="K96" s="55">
        <v>38412</v>
      </c>
      <c r="L96" s="55">
        <v>38443</v>
      </c>
      <c r="M96" s="55">
        <v>38473</v>
      </c>
      <c r="N96" s="55">
        <v>38504</v>
      </c>
      <c r="O96" s="55">
        <v>38534</v>
      </c>
      <c r="P96" s="55">
        <v>38565</v>
      </c>
      <c r="Q96" s="55">
        <v>38596</v>
      </c>
      <c r="R96" s="55">
        <v>38626</v>
      </c>
      <c r="S96" s="55">
        <v>38657</v>
      </c>
      <c r="T96" s="55">
        <v>38687</v>
      </c>
      <c r="U96" s="55">
        <v>38718</v>
      </c>
      <c r="V96" s="55">
        <v>38749</v>
      </c>
      <c r="W96" s="55">
        <v>38777</v>
      </c>
      <c r="X96" s="55">
        <v>38808</v>
      </c>
      <c r="Y96" s="55">
        <v>38838</v>
      </c>
      <c r="Z96" s="55">
        <v>38869</v>
      </c>
      <c r="AA96" s="55">
        <v>38899</v>
      </c>
      <c r="AB96" s="55">
        <v>38930</v>
      </c>
      <c r="AC96" s="55">
        <v>38961</v>
      </c>
      <c r="AD96" s="55">
        <v>38991</v>
      </c>
      <c r="AE96" s="55">
        <v>39022</v>
      </c>
      <c r="AF96" s="55">
        <v>39052</v>
      </c>
      <c r="AG96" s="55">
        <v>39083</v>
      </c>
    </row>
    <row r="97" spans="2:34" ht="13.5" thickTop="1">
      <c r="B97" s="30" t="s">
        <v>27</v>
      </c>
      <c r="C97" s="32">
        <f>SUM(C66:C68)</f>
        <v>4302</v>
      </c>
      <c r="D97" s="32">
        <f aca="true" t="shared" si="12" ref="D97:AG97">SUM(D66:D68)</f>
        <v>4145</v>
      </c>
      <c r="E97" s="32">
        <f t="shared" si="12"/>
        <v>4278</v>
      </c>
      <c r="F97" s="32">
        <f t="shared" si="12"/>
        <v>4240</v>
      </c>
      <c r="G97" s="32">
        <f t="shared" si="12"/>
        <v>4357</v>
      </c>
      <c r="H97" s="32">
        <f t="shared" si="12"/>
        <v>4393</v>
      </c>
      <c r="I97" s="32">
        <f t="shared" si="12"/>
        <v>4259</v>
      </c>
      <c r="J97" s="32">
        <f t="shared" si="12"/>
        <v>3857</v>
      </c>
      <c r="K97" s="32">
        <f t="shared" si="12"/>
        <v>4582</v>
      </c>
      <c r="L97" s="32">
        <f t="shared" si="12"/>
        <v>4214</v>
      </c>
      <c r="M97" s="32">
        <f t="shared" si="12"/>
        <v>4455</v>
      </c>
      <c r="N97" s="32">
        <f t="shared" si="12"/>
        <v>4394</v>
      </c>
      <c r="O97" s="32">
        <f t="shared" si="12"/>
        <v>4275</v>
      </c>
      <c r="P97" s="32">
        <f t="shared" si="12"/>
        <v>4333</v>
      </c>
      <c r="Q97" s="32">
        <f t="shared" si="12"/>
        <v>4288</v>
      </c>
      <c r="R97" s="32">
        <f t="shared" si="12"/>
        <v>4304</v>
      </c>
      <c r="S97" s="32">
        <f t="shared" si="12"/>
        <v>4393</v>
      </c>
      <c r="T97" s="32">
        <f t="shared" si="12"/>
        <v>4455</v>
      </c>
      <c r="U97" s="32">
        <f t="shared" si="12"/>
        <v>4353</v>
      </c>
      <c r="V97" s="32">
        <f t="shared" si="12"/>
        <v>4269</v>
      </c>
      <c r="W97" s="32">
        <f t="shared" si="12"/>
        <v>4512</v>
      </c>
      <c r="X97" s="32">
        <f t="shared" si="12"/>
        <v>4049</v>
      </c>
      <c r="Y97" s="32">
        <f t="shared" si="12"/>
        <v>4419</v>
      </c>
      <c r="Z97" s="32">
        <f t="shared" si="12"/>
        <v>4337</v>
      </c>
      <c r="AA97" s="32">
        <f t="shared" si="12"/>
        <v>4063</v>
      </c>
      <c r="AB97" s="32">
        <f t="shared" si="12"/>
        <v>4187</v>
      </c>
      <c r="AC97" s="32">
        <f t="shared" si="12"/>
        <v>4062</v>
      </c>
      <c r="AD97" s="32">
        <f t="shared" si="12"/>
        <v>4297</v>
      </c>
      <c r="AE97" s="32">
        <f t="shared" si="12"/>
        <v>4143</v>
      </c>
      <c r="AF97" s="32">
        <f t="shared" si="12"/>
        <v>4009</v>
      </c>
      <c r="AG97" s="32">
        <f t="shared" si="12"/>
        <v>4305</v>
      </c>
      <c r="AH97" s="58" t="e">
        <f>#REF!-#REF!</f>
        <v>#REF!</v>
      </c>
    </row>
    <row r="98" spans="2:34" ht="12.75">
      <c r="B98" s="22" t="s">
        <v>28</v>
      </c>
      <c r="C98" s="23">
        <f>SUM(C69:C71)</f>
        <v>5724</v>
      </c>
      <c r="D98" s="23">
        <f aca="true" t="shared" si="13" ref="D98:AG98">SUM(D69:D71)</f>
        <v>5493</v>
      </c>
      <c r="E98" s="23">
        <f t="shared" si="13"/>
        <v>5742</v>
      </c>
      <c r="F98" s="23">
        <f t="shared" si="13"/>
        <v>5679</v>
      </c>
      <c r="G98" s="23">
        <f t="shared" si="13"/>
        <v>5816</v>
      </c>
      <c r="H98" s="23">
        <f t="shared" si="13"/>
        <v>5890</v>
      </c>
      <c r="I98" s="23">
        <f t="shared" si="13"/>
        <v>5666</v>
      </c>
      <c r="J98" s="23">
        <f t="shared" si="13"/>
        <v>5221</v>
      </c>
      <c r="K98" s="23">
        <f t="shared" si="13"/>
        <v>6129</v>
      </c>
      <c r="L98" s="23">
        <f t="shared" si="13"/>
        <v>5744</v>
      </c>
      <c r="M98" s="23">
        <f t="shared" si="13"/>
        <v>5845</v>
      </c>
      <c r="N98" s="23">
        <f t="shared" si="13"/>
        <v>5685</v>
      </c>
      <c r="O98" s="23">
        <f t="shared" si="13"/>
        <v>5528</v>
      </c>
      <c r="P98" s="23">
        <f t="shared" si="13"/>
        <v>5479</v>
      </c>
      <c r="Q98" s="23">
        <f t="shared" si="13"/>
        <v>5469</v>
      </c>
      <c r="R98" s="23">
        <f t="shared" si="13"/>
        <v>5399</v>
      </c>
      <c r="S98" s="23">
        <f t="shared" si="13"/>
        <v>5434</v>
      </c>
      <c r="T98" s="23">
        <f t="shared" si="13"/>
        <v>5466</v>
      </c>
      <c r="U98" s="23">
        <f t="shared" si="13"/>
        <v>5314</v>
      </c>
      <c r="V98" s="23">
        <f t="shared" si="13"/>
        <v>5220</v>
      </c>
      <c r="W98" s="23">
        <f t="shared" si="13"/>
        <v>5415</v>
      </c>
      <c r="X98" s="23">
        <f t="shared" si="13"/>
        <v>5048</v>
      </c>
      <c r="Y98" s="23">
        <f t="shared" si="13"/>
        <v>5379</v>
      </c>
      <c r="Z98" s="23">
        <f t="shared" si="13"/>
        <v>5214</v>
      </c>
      <c r="AA98" s="23">
        <f t="shared" si="13"/>
        <v>4996</v>
      </c>
      <c r="AB98" s="23">
        <f t="shared" si="13"/>
        <v>5136</v>
      </c>
      <c r="AC98" s="23">
        <f t="shared" si="13"/>
        <v>4805</v>
      </c>
      <c r="AD98" s="23">
        <f t="shared" si="13"/>
        <v>5167</v>
      </c>
      <c r="AE98" s="23">
        <f t="shared" si="13"/>
        <v>5029</v>
      </c>
      <c r="AF98" s="23">
        <f t="shared" si="13"/>
        <v>4749</v>
      </c>
      <c r="AG98" s="23">
        <f t="shared" si="13"/>
        <v>5195</v>
      </c>
      <c r="AH98" s="58" t="e">
        <f>#REF!-#REF!</f>
        <v>#REF!</v>
      </c>
    </row>
    <row r="99" spans="2:34" ht="12.75">
      <c r="B99" s="22" t="s">
        <v>39</v>
      </c>
      <c r="C99" s="23">
        <f>C72</f>
        <v>0</v>
      </c>
      <c r="D99" s="23">
        <f aca="true" t="shared" si="14" ref="D99:AG99">D72</f>
        <v>0</v>
      </c>
      <c r="E99" s="23">
        <f t="shared" si="14"/>
        <v>0</v>
      </c>
      <c r="F99" s="23">
        <f t="shared" si="14"/>
        <v>0</v>
      </c>
      <c r="G99" s="23">
        <f t="shared" si="14"/>
        <v>0</v>
      </c>
      <c r="H99" s="23">
        <f t="shared" si="14"/>
        <v>0</v>
      </c>
      <c r="I99" s="23">
        <f t="shared" si="14"/>
        <v>0</v>
      </c>
      <c r="J99" s="23">
        <f t="shared" si="14"/>
        <v>0</v>
      </c>
      <c r="K99" s="23">
        <f t="shared" si="14"/>
        <v>0</v>
      </c>
      <c r="L99" s="23">
        <f t="shared" si="14"/>
        <v>0</v>
      </c>
      <c r="M99" s="23">
        <f t="shared" si="14"/>
        <v>0</v>
      </c>
      <c r="N99" s="23">
        <f t="shared" si="14"/>
        <v>0</v>
      </c>
      <c r="O99" s="23">
        <f t="shared" si="14"/>
        <v>0</v>
      </c>
      <c r="P99" s="23">
        <f t="shared" si="14"/>
        <v>0</v>
      </c>
      <c r="Q99" s="23">
        <f t="shared" si="14"/>
        <v>0</v>
      </c>
      <c r="R99" s="23">
        <f t="shared" si="14"/>
        <v>0</v>
      </c>
      <c r="S99" s="23">
        <f t="shared" si="14"/>
        <v>0</v>
      </c>
      <c r="T99" s="23">
        <f t="shared" si="14"/>
        <v>0</v>
      </c>
      <c r="U99" s="23">
        <f t="shared" si="14"/>
        <v>0</v>
      </c>
      <c r="V99" s="23">
        <f t="shared" si="14"/>
        <v>0</v>
      </c>
      <c r="W99" s="23">
        <f t="shared" si="14"/>
        <v>0</v>
      </c>
      <c r="X99" s="23">
        <f t="shared" si="14"/>
        <v>0</v>
      </c>
      <c r="Y99" s="23">
        <f t="shared" si="14"/>
        <v>0</v>
      </c>
      <c r="Z99" s="23">
        <f t="shared" si="14"/>
        <v>38</v>
      </c>
      <c r="AA99" s="23">
        <f t="shared" si="14"/>
        <v>84</v>
      </c>
      <c r="AB99" s="23">
        <f t="shared" si="14"/>
        <v>102</v>
      </c>
      <c r="AC99" s="23">
        <f t="shared" si="14"/>
        <v>131</v>
      </c>
      <c r="AD99" s="23">
        <f t="shared" si="14"/>
        <v>215</v>
      </c>
      <c r="AE99" s="23">
        <f t="shared" si="14"/>
        <v>237</v>
      </c>
      <c r="AF99" s="23">
        <f t="shared" si="14"/>
        <v>263</v>
      </c>
      <c r="AG99" s="23">
        <f t="shared" si="14"/>
        <v>279</v>
      </c>
      <c r="AH99" s="58" t="e">
        <f>#REF!-#REF!</f>
        <v>#REF!</v>
      </c>
    </row>
    <row r="100" spans="2:34" ht="12.75">
      <c r="B100" s="22" t="s">
        <v>29</v>
      </c>
      <c r="C100" s="23">
        <f>SUM(C73:C75)</f>
        <v>1423</v>
      </c>
      <c r="D100" s="23">
        <f aca="true" t="shared" si="15" ref="D100:AG100">SUM(D73:D75)</f>
        <v>1374</v>
      </c>
      <c r="E100" s="23">
        <f t="shared" si="15"/>
        <v>1462</v>
      </c>
      <c r="F100" s="23">
        <f t="shared" si="15"/>
        <v>1455</v>
      </c>
      <c r="G100" s="23">
        <f t="shared" si="15"/>
        <v>1530</v>
      </c>
      <c r="H100" s="23">
        <f t="shared" si="15"/>
        <v>1516</v>
      </c>
      <c r="I100" s="23">
        <f t="shared" si="15"/>
        <v>1488</v>
      </c>
      <c r="J100" s="23">
        <f t="shared" si="15"/>
        <v>1367</v>
      </c>
      <c r="K100" s="23">
        <f t="shared" si="15"/>
        <v>1653</v>
      </c>
      <c r="L100" s="23">
        <f t="shared" si="15"/>
        <v>1527</v>
      </c>
      <c r="M100" s="23">
        <f t="shared" si="15"/>
        <v>1575</v>
      </c>
      <c r="N100" s="23">
        <f t="shared" si="15"/>
        <v>1567</v>
      </c>
      <c r="O100" s="23">
        <f t="shared" si="15"/>
        <v>1510</v>
      </c>
      <c r="P100" s="23">
        <f t="shared" si="15"/>
        <v>1499</v>
      </c>
      <c r="Q100" s="23">
        <f t="shared" si="15"/>
        <v>1511</v>
      </c>
      <c r="R100" s="23">
        <f t="shared" si="15"/>
        <v>1531</v>
      </c>
      <c r="S100" s="23">
        <f t="shared" si="15"/>
        <v>1526</v>
      </c>
      <c r="T100" s="23">
        <f t="shared" si="15"/>
        <v>1572</v>
      </c>
      <c r="U100" s="23">
        <f t="shared" si="15"/>
        <v>1509</v>
      </c>
      <c r="V100" s="23">
        <f t="shared" si="15"/>
        <v>1504</v>
      </c>
      <c r="W100" s="23">
        <f t="shared" si="15"/>
        <v>1608</v>
      </c>
      <c r="X100" s="23">
        <f t="shared" si="15"/>
        <v>1481</v>
      </c>
      <c r="Y100" s="23">
        <f t="shared" si="15"/>
        <v>1559</v>
      </c>
      <c r="Z100" s="23">
        <f t="shared" si="15"/>
        <v>1536</v>
      </c>
      <c r="AA100" s="23">
        <f t="shared" si="15"/>
        <v>1453</v>
      </c>
      <c r="AB100" s="23">
        <f t="shared" si="15"/>
        <v>1474</v>
      </c>
      <c r="AC100" s="23">
        <f t="shared" si="15"/>
        <v>1447</v>
      </c>
      <c r="AD100" s="23">
        <f t="shared" si="15"/>
        <v>1575</v>
      </c>
      <c r="AE100" s="23">
        <f t="shared" si="15"/>
        <v>1525</v>
      </c>
      <c r="AF100" s="23">
        <f t="shared" si="15"/>
        <v>1436</v>
      </c>
      <c r="AG100" s="23">
        <f t="shared" si="15"/>
        <v>1529</v>
      </c>
      <c r="AH100" s="58" t="e">
        <f>#REF!-#REF!</f>
        <v>#REF!</v>
      </c>
    </row>
    <row r="101" spans="2:34" ht="12.75">
      <c r="B101" s="22" t="s">
        <v>30</v>
      </c>
      <c r="C101" s="23">
        <f>SUM(C76:C79)</f>
        <v>5162</v>
      </c>
      <c r="D101" s="23">
        <f aca="true" t="shared" si="16" ref="D101:AG101">SUM(D76:D79)</f>
        <v>4958</v>
      </c>
      <c r="E101" s="23">
        <f t="shared" si="16"/>
        <v>5249</v>
      </c>
      <c r="F101" s="23">
        <f t="shared" si="16"/>
        <v>5299</v>
      </c>
      <c r="G101" s="23">
        <f t="shared" si="16"/>
        <v>5502</v>
      </c>
      <c r="H101" s="23">
        <f t="shared" si="16"/>
        <v>5613</v>
      </c>
      <c r="I101" s="23">
        <f t="shared" si="16"/>
        <v>5548</v>
      </c>
      <c r="J101" s="23">
        <f t="shared" si="16"/>
        <v>5080</v>
      </c>
      <c r="K101" s="23">
        <f t="shared" si="16"/>
        <v>6273</v>
      </c>
      <c r="L101" s="23">
        <f t="shared" si="16"/>
        <v>5893</v>
      </c>
      <c r="M101" s="23">
        <f t="shared" si="16"/>
        <v>6019</v>
      </c>
      <c r="N101" s="23">
        <f t="shared" si="16"/>
        <v>5960</v>
      </c>
      <c r="O101" s="23">
        <f t="shared" si="16"/>
        <v>5830</v>
      </c>
      <c r="P101" s="23">
        <f t="shared" si="16"/>
        <v>5865</v>
      </c>
      <c r="Q101" s="23">
        <f t="shared" si="16"/>
        <v>5885</v>
      </c>
      <c r="R101" s="23">
        <f t="shared" si="16"/>
        <v>5916</v>
      </c>
      <c r="S101" s="23">
        <f t="shared" si="16"/>
        <v>6189</v>
      </c>
      <c r="T101" s="23">
        <f t="shared" si="16"/>
        <v>6387</v>
      </c>
      <c r="U101" s="23">
        <f t="shared" si="16"/>
        <v>6228</v>
      </c>
      <c r="V101" s="23">
        <f t="shared" si="16"/>
        <v>6198</v>
      </c>
      <c r="W101" s="23">
        <f t="shared" si="16"/>
        <v>6571</v>
      </c>
      <c r="X101" s="23">
        <f t="shared" si="16"/>
        <v>6126</v>
      </c>
      <c r="Y101" s="23">
        <f t="shared" si="16"/>
        <v>6641</v>
      </c>
      <c r="Z101" s="23">
        <f t="shared" si="16"/>
        <v>6524</v>
      </c>
      <c r="AA101" s="23">
        <f t="shared" si="16"/>
        <v>6318</v>
      </c>
      <c r="AB101" s="23">
        <f t="shared" si="16"/>
        <v>6408</v>
      </c>
      <c r="AC101" s="23">
        <f t="shared" si="16"/>
        <v>6293</v>
      </c>
      <c r="AD101" s="23">
        <f t="shared" si="16"/>
        <v>6746</v>
      </c>
      <c r="AE101" s="23">
        <f t="shared" si="16"/>
        <v>6654</v>
      </c>
      <c r="AF101" s="23">
        <f t="shared" si="16"/>
        <v>6508</v>
      </c>
      <c r="AG101" s="23">
        <f t="shared" si="16"/>
        <v>7083</v>
      </c>
      <c r="AH101" s="58" t="e">
        <f>#REF!-#REF!</f>
        <v>#REF!</v>
      </c>
    </row>
    <row r="102" spans="2:34" ht="12.75">
      <c r="B102" s="22" t="s">
        <v>31</v>
      </c>
      <c r="C102" s="23">
        <f>SUM(C80:C82)</f>
        <v>599</v>
      </c>
      <c r="D102" s="23">
        <f aca="true" t="shared" si="17" ref="D102:AG102">SUM(D80:D82)</f>
        <v>595</v>
      </c>
      <c r="E102" s="23">
        <f t="shared" si="17"/>
        <v>677</v>
      </c>
      <c r="F102" s="23">
        <f t="shared" si="17"/>
        <v>749</v>
      </c>
      <c r="G102" s="23">
        <f t="shared" si="17"/>
        <v>878</v>
      </c>
      <c r="H102" s="23">
        <f t="shared" si="17"/>
        <v>892</v>
      </c>
      <c r="I102" s="23">
        <f t="shared" si="17"/>
        <v>922</v>
      </c>
      <c r="J102" s="23">
        <f t="shared" si="17"/>
        <v>847</v>
      </c>
      <c r="K102" s="23">
        <f t="shared" si="17"/>
        <v>1076</v>
      </c>
      <c r="L102" s="23">
        <f t="shared" si="17"/>
        <v>1030</v>
      </c>
      <c r="M102" s="23">
        <f t="shared" si="17"/>
        <v>1112</v>
      </c>
      <c r="N102" s="23">
        <f t="shared" si="17"/>
        <v>1119</v>
      </c>
      <c r="O102" s="23">
        <f t="shared" si="17"/>
        <v>1108</v>
      </c>
      <c r="P102" s="23">
        <f t="shared" si="17"/>
        <v>1142</v>
      </c>
      <c r="Q102" s="23">
        <f t="shared" si="17"/>
        <v>1149</v>
      </c>
      <c r="R102" s="23">
        <f t="shared" si="17"/>
        <v>1167</v>
      </c>
      <c r="S102" s="23">
        <f t="shared" si="17"/>
        <v>1229</v>
      </c>
      <c r="T102" s="23">
        <f t="shared" si="17"/>
        <v>1314</v>
      </c>
      <c r="U102" s="23">
        <f t="shared" si="17"/>
        <v>1304</v>
      </c>
      <c r="V102" s="23">
        <f t="shared" si="17"/>
        <v>1490</v>
      </c>
      <c r="W102" s="23">
        <f t="shared" si="17"/>
        <v>1803</v>
      </c>
      <c r="X102" s="23">
        <f t="shared" si="17"/>
        <v>1777</v>
      </c>
      <c r="Y102" s="23">
        <f t="shared" si="17"/>
        <v>2050</v>
      </c>
      <c r="Z102" s="23">
        <f t="shared" si="17"/>
        <v>2239</v>
      </c>
      <c r="AA102" s="23">
        <f t="shared" si="17"/>
        <v>2295</v>
      </c>
      <c r="AB102" s="23">
        <f t="shared" si="17"/>
        <v>2350</v>
      </c>
      <c r="AC102" s="23">
        <f t="shared" si="17"/>
        <v>2453</v>
      </c>
      <c r="AD102" s="23">
        <f t="shared" si="17"/>
        <v>2819</v>
      </c>
      <c r="AE102" s="23">
        <f t="shared" si="17"/>
        <v>2871</v>
      </c>
      <c r="AF102" s="23">
        <f t="shared" si="17"/>
        <v>2914</v>
      </c>
      <c r="AG102" s="23">
        <f t="shared" si="17"/>
        <v>3235</v>
      </c>
      <c r="AH102" s="58" t="e">
        <f>#REF!-#REF!</f>
        <v>#REF!</v>
      </c>
    </row>
    <row r="103" spans="2:34" ht="12.75">
      <c r="B103" s="22" t="s">
        <v>32</v>
      </c>
      <c r="C103" s="23">
        <f>C83</f>
        <v>0</v>
      </c>
      <c r="D103" s="23">
        <f aca="true" t="shared" si="18" ref="D103:AG103">D83</f>
        <v>0</v>
      </c>
      <c r="E103" s="23">
        <f t="shared" si="18"/>
        <v>0</v>
      </c>
      <c r="F103" s="23">
        <f t="shared" si="18"/>
        <v>0</v>
      </c>
      <c r="G103" s="23">
        <f t="shared" si="18"/>
        <v>0</v>
      </c>
      <c r="H103" s="23">
        <f t="shared" si="18"/>
        <v>0</v>
      </c>
      <c r="I103" s="23">
        <f t="shared" si="18"/>
        <v>43</v>
      </c>
      <c r="J103" s="23">
        <f t="shared" si="18"/>
        <v>139</v>
      </c>
      <c r="K103" s="23">
        <f t="shared" si="18"/>
        <v>316</v>
      </c>
      <c r="L103" s="23">
        <f t="shared" si="18"/>
        <v>425</v>
      </c>
      <c r="M103" s="23">
        <f t="shared" si="18"/>
        <v>527</v>
      </c>
      <c r="N103" s="23">
        <f t="shared" si="18"/>
        <v>565</v>
      </c>
      <c r="O103" s="23">
        <f t="shared" si="18"/>
        <v>576</v>
      </c>
      <c r="P103" s="23">
        <f t="shared" si="18"/>
        <v>603</v>
      </c>
      <c r="Q103" s="23">
        <f t="shared" si="18"/>
        <v>660</v>
      </c>
      <c r="R103" s="23">
        <f t="shared" si="18"/>
        <v>686</v>
      </c>
      <c r="S103" s="23">
        <f t="shared" si="18"/>
        <v>735</v>
      </c>
      <c r="T103" s="23">
        <f t="shared" si="18"/>
        <v>802</v>
      </c>
      <c r="U103" s="23">
        <f t="shared" si="18"/>
        <v>814</v>
      </c>
      <c r="V103" s="23">
        <f t="shared" si="18"/>
        <v>795</v>
      </c>
      <c r="W103" s="23">
        <f t="shared" si="18"/>
        <v>871</v>
      </c>
      <c r="X103" s="23">
        <f t="shared" si="18"/>
        <v>827</v>
      </c>
      <c r="Y103" s="23">
        <f t="shared" si="18"/>
        <v>866</v>
      </c>
      <c r="Z103" s="23">
        <f t="shared" si="18"/>
        <v>848</v>
      </c>
      <c r="AA103" s="23">
        <f t="shared" si="18"/>
        <v>804</v>
      </c>
      <c r="AB103" s="23">
        <f t="shared" si="18"/>
        <v>847</v>
      </c>
      <c r="AC103" s="23">
        <f t="shared" si="18"/>
        <v>829</v>
      </c>
      <c r="AD103" s="23">
        <f t="shared" si="18"/>
        <v>918</v>
      </c>
      <c r="AE103" s="23">
        <f t="shared" si="18"/>
        <v>928</v>
      </c>
      <c r="AF103" s="23">
        <f t="shared" si="18"/>
        <v>904</v>
      </c>
      <c r="AG103" s="23">
        <f t="shared" si="18"/>
        <v>1003</v>
      </c>
      <c r="AH103" s="58" t="e">
        <f>#REF!-#REF!</f>
        <v>#REF!</v>
      </c>
    </row>
    <row r="104" spans="2:34" ht="12.75">
      <c r="B104" s="22" t="s">
        <v>33</v>
      </c>
      <c r="C104" s="23">
        <f>SUM(C84:C85)</f>
        <v>0</v>
      </c>
      <c r="D104" s="23">
        <f aca="true" t="shared" si="19" ref="D104:AG104">SUM(D84:D85)</f>
        <v>0</v>
      </c>
      <c r="E104" s="23">
        <f t="shared" si="19"/>
        <v>0</v>
      </c>
      <c r="F104" s="23">
        <f t="shared" si="19"/>
        <v>0</v>
      </c>
      <c r="G104" s="23">
        <f t="shared" si="19"/>
        <v>0</v>
      </c>
      <c r="H104" s="23">
        <f t="shared" si="19"/>
        <v>0</v>
      </c>
      <c r="I104" s="23">
        <f t="shared" si="19"/>
        <v>0</v>
      </c>
      <c r="J104" s="23">
        <f t="shared" si="19"/>
        <v>0</v>
      </c>
      <c r="K104" s="23">
        <f t="shared" si="19"/>
        <v>0</v>
      </c>
      <c r="L104" s="23">
        <f t="shared" si="19"/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  <c r="T104" s="23">
        <f t="shared" si="19"/>
        <v>0</v>
      </c>
      <c r="U104" s="23">
        <f t="shared" si="19"/>
        <v>13</v>
      </c>
      <c r="V104" s="23">
        <f t="shared" si="19"/>
        <v>80</v>
      </c>
      <c r="W104" s="23">
        <f t="shared" si="19"/>
        <v>138</v>
      </c>
      <c r="X104" s="23">
        <f t="shared" si="19"/>
        <v>168</v>
      </c>
      <c r="Y104" s="23">
        <f t="shared" si="19"/>
        <v>215</v>
      </c>
      <c r="Z104" s="23">
        <f t="shared" si="19"/>
        <v>262</v>
      </c>
      <c r="AA104" s="23">
        <f t="shared" si="19"/>
        <v>280</v>
      </c>
      <c r="AB104" s="23">
        <f t="shared" si="19"/>
        <v>316</v>
      </c>
      <c r="AC104" s="23">
        <f t="shared" si="19"/>
        <v>343</v>
      </c>
      <c r="AD104" s="23">
        <f t="shared" si="19"/>
        <v>425</v>
      </c>
      <c r="AE104" s="23">
        <f t="shared" si="19"/>
        <v>461</v>
      </c>
      <c r="AF104" s="23">
        <f t="shared" si="19"/>
        <v>474</v>
      </c>
      <c r="AG104" s="23">
        <f t="shared" si="19"/>
        <v>576</v>
      </c>
      <c r="AH104" s="58" t="e">
        <f>#REF!-#REF!</f>
        <v>#REF!</v>
      </c>
    </row>
    <row r="105" spans="2:34" ht="12.75">
      <c r="B105" s="22" t="s">
        <v>34</v>
      </c>
      <c r="C105" s="23">
        <f>C86</f>
        <v>74</v>
      </c>
      <c r="D105" s="23">
        <f aca="true" t="shared" si="20" ref="D105:AG105">D86</f>
        <v>67</v>
      </c>
      <c r="E105" s="23">
        <f t="shared" si="20"/>
        <v>71</v>
      </c>
      <c r="F105" s="23">
        <f t="shared" si="20"/>
        <v>75</v>
      </c>
      <c r="G105" s="23">
        <f t="shared" si="20"/>
        <v>82</v>
      </c>
      <c r="H105" s="23">
        <f t="shared" si="20"/>
        <v>81</v>
      </c>
      <c r="I105" s="23">
        <f t="shared" si="20"/>
        <v>74</v>
      </c>
      <c r="J105" s="23">
        <f t="shared" si="20"/>
        <v>64</v>
      </c>
      <c r="K105" s="23">
        <f t="shared" si="20"/>
        <v>74</v>
      </c>
      <c r="L105" s="23">
        <f t="shared" si="20"/>
        <v>64</v>
      </c>
      <c r="M105" s="23">
        <f t="shared" si="20"/>
        <v>74</v>
      </c>
      <c r="N105" s="23">
        <f t="shared" si="20"/>
        <v>65</v>
      </c>
      <c r="O105" s="23">
        <f t="shared" si="20"/>
        <v>61</v>
      </c>
      <c r="P105" s="23">
        <f t="shared" si="20"/>
        <v>71</v>
      </c>
      <c r="Q105" s="23">
        <f t="shared" si="20"/>
        <v>68</v>
      </c>
      <c r="R105" s="23">
        <f t="shared" si="20"/>
        <v>77</v>
      </c>
      <c r="S105" s="23">
        <f t="shared" si="20"/>
        <v>72</v>
      </c>
      <c r="T105" s="23">
        <f t="shared" si="20"/>
        <v>76</v>
      </c>
      <c r="U105" s="23">
        <f t="shared" si="20"/>
        <v>63</v>
      </c>
      <c r="V105" s="23">
        <f t="shared" si="20"/>
        <v>71</v>
      </c>
      <c r="W105" s="23">
        <f t="shared" si="20"/>
        <v>64</v>
      </c>
      <c r="X105" s="23">
        <f t="shared" si="20"/>
        <v>58</v>
      </c>
      <c r="Y105" s="23">
        <f t="shared" si="20"/>
        <v>67</v>
      </c>
      <c r="Z105" s="23">
        <f t="shared" si="20"/>
        <v>65</v>
      </c>
      <c r="AA105" s="23">
        <f t="shared" si="20"/>
        <v>65</v>
      </c>
      <c r="AB105" s="23">
        <f t="shared" si="20"/>
        <v>56</v>
      </c>
      <c r="AC105" s="23">
        <f t="shared" si="20"/>
        <v>58</v>
      </c>
      <c r="AD105" s="23">
        <f t="shared" si="20"/>
        <v>80</v>
      </c>
      <c r="AE105" s="23">
        <f t="shared" si="20"/>
        <v>60</v>
      </c>
      <c r="AF105" s="23">
        <f t="shared" si="20"/>
        <v>55</v>
      </c>
      <c r="AG105" s="23">
        <f t="shared" si="20"/>
        <v>68</v>
      </c>
      <c r="AH105" s="58" t="e">
        <f>#REF!-#REF!</f>
        <v>#REF!</v>
      </c>
    </row>
    <row r="106" spans="2:34" ht="12.75">
      <c r="B106" s="22" t="s">
        <v>35</v>
      </c>
      <c r="C106" s="23">
        <f>SUM(C87:C93)</f>
        <v>4991</v>
      </c>
      <c r="D106" s="23">
        <f aca="true" t="shared" si="21" ref="D106:AG106">SUM(D87:D93)</f>
        <v>4805</v>
      </c>
      <c r="E106" s="23">
        <f t="shared" si="21"/>
        <v>4973</v>
      </c>
      <c r="F106" s="23">
        <f t="shared" si="21"/>
        <v>4907</v>
      </c>
      <c r="G106" s="23">
        <f t="shared" si="21"/>
        <v>5067</v>
      </c>
      <c r="H106" s="23">
        <f t="shared" si="21"/>
        <v>5137</v>
      </c>
      <c r="I106" s="23">
        <f t="shared" si="21"/>
        <v>4841</v>
      </c>
      <c r="J106" s="23">
        <f t="shared" si="21"/>
        <v>4413</v>
      </c>
      <c r="K106" s="23">
        <f t="shared" si="21"/>
        <v>5356</v>
      </c>
      <c r="L106" s="23">
        <f t="shared" si="21"/>
        <v>4880</v>
      </c>
      <c r="M106" s="23">
        <f t="shared" si="21"/>
        <v>4975</v>
      </c>
      <c r="N106" s="23">
        <f t="shared" si="21"/>
        <v>4954</v>
      </c>
      <c r="O106" s="23">
        <f t="shared" si="21"/>
        <v>4838</v>
      </c>
      <c r="P106" s="23">
        <f t="shared" si="21"/>
        <v>4865</v>
      </c>
      <c r="Q106" s="23">
        <f t="shared" si="21"/>
        <v>4852</v>
      </c>
      <c r="R106" s="23">
        <f t="shared" si="21"/>
        <v>4974</v>
      </c>
      <c r="S106" s="23">
        <f t="shared" si="21"/>
        <v>4955</v>
      </c>
      <c r="T106" s="23">
        <f t="shared" si="21"/>
        <v>5085</v>
      </c>
      <c r="U106" s="23">
        <f t="shared" si="21"/>
        <v>4864</v>
      </c>
      <c r="V106" s="23">
        <f t="shared" si="21"/>
        <v>4739</v>
      </c>
      <c r="W106" s="23">
        <f t="shared" si="21"/>
        <v>5085</v>
      </c>
      <c r="X106" s="23">
        <f t="shared" si="21"/>
        <v>4619</v>
      </c>
      <c r="Y106" s="23">
        <f t="shared" si="21"/>
        <v>5039</v>
      </c>
      <c r="Z106" s="23">
        <f t="shared" si="21"/>
        <v>4883</v>
      </c>
      <c r="AA106" s="23">
        <f t="shared" si="21"/>
        <v>4672</v>
      </c>
      <c r="AB106" s="23">
        <f t="shared" si="21"/>
        <v>4770</v>
      </c>
      <c r="AC106" s="23">
        <f t="shared" si="21"/>
        <v>4584</v>
      </c>
      <c r="AD106" s="23">
        <f t="shared" si="21"/>
        <v>4879</v>
      </c>
      <c r="AE106" s="23">
        <f t="shared" si="21"/>
        <v>4743</v>
      </c>
      <c r="AF106" s="23">
        <f t="shared" si="21"/>
        <v>4459</v>
      </c>
      <c r="AG106" s="23">
        <f t="shared" si="21"/>
        <v>4901</v>
      </c>
      <c r="AH106" s="58" t="e">
        <f>#REF!-#REF!</f>
        <v>#REF!</v>
      </c>
    </row>
    <row r="107" spans="2:34" ht="13.5" thickBot="1">
      <c r="B107" s="24" t="s">
        <v>72</v>
      </c>
      <c r="C107" s="25">
        <f>C94</f>
        <v>0</v>
      </c>
      <c r="D107" s="25">
        <f aca="true" t="shared" si="22" ref="D107:AG107">D94</f>
        <v>0</v>
      </c>
      <c r="E107" s="25">
        <f t="shared" si="22"/>
        <v>0</v>
      </c>
      <c r="F107" s="25">
        <f t="shared" si="22"/>
        <v>0</v>
      </c>
      <c r="G107" s="25">
        <f t="shared" si="22"/>
        <v>0</v>
      </c>
      <c r="H107" s="25">
        <f t="shared" si="22"/>
        <v>0</v>
      </c>
      <c r="I107" s="25">
        <f t="shared" si="22"/>
        <v>0</v>
      </c>
      <c r="J107" s="25">
        <f t="shared" si="22"/>
        <v>0</v>
      </c>
      <c r="K107" s="25">
        <f t="shared" si="22"/>
        <v>0</v>
      </c>
      <c r="L107" s="25">
        <f t="shared" si="22"/>
        <v>0</v>
      </c>
      <c r="M107" s="25">
        <f t="shared" si="22"/>
        <v>0</v>
      </c>
      <c r="N107" s="25">
        <f t="shared" si="22"/>
        <v>0</v>
      </c>
      <c r="O107" s="25">
        <f t="shared" si="22"/>
        <v>0</v>
      </c>
      <c r="P107" s="25">
        <f t="shared" si="22"/>
        <v>0</v>
      </c>
      <c r="Q107" s="25">
        <f t="shared" si="22"/>
        <v>0</v>
      </c>
      <c r="R107" s="25">
        <f t="shared" si="22"/>
        <v>0</v>
      </c>
      <c r="S107" s="25">
        <f t="shared" si="22"/>
        <v>0</v>
      </c>
      <c r="T107" s="25">
        <f t="shared" si="22"/>
        <v>0</v>
      </c>
      <c r="U107" s="25">
        <f t="shared" si="22"/>
        <v>0</v>
      </c>
      <c r="V107" s="25">
        <f t="shared" si="22"/>
        <v>0</v>
      </c>
      <c r="W107" s="25">
        <f t="shared" si="22"/>
        <v>0</v>
      </c>
      <c r="X107" s="25">
        <f t="shared" si="22"/>
        <v>0</v>
      </c>
      <c r="Y107" s="25">
        <f t="shared" si="22"/>
        <v>0</v>
      </c>
      <c r="Z107" s="25">
        <f t="shared" si="22"/>
        <v>0</v>
      </c>
      <c r="AA107" s="25">
        <f t="shared" si="22"/>
        <v>0</v>
      </c>
      <c r="AB107" s="25">
        <f t="shared" si="22"/>
        <v>0</v>
      </c>
      <c r="AC107" s="25">
        <f t="shared" si="22"/>
        <v>0</v>
      </c>
      <c r="AD107" s="25">
        <f t="shared" si="22"/>
        <v>0</v>
      </c>
      <c r="AE107" s="25">
        <f t="shared" si="22"/>
        <v>0</v>
      </c>
      <c r="AF107" s="25">
        <f t="shared" si="22"/>
        <v>0</v>
      </c>
      <c r="AG107" s="25">
        <f t="shared" si="22"/>
        <v>15</v>
      </c>
      <c r="AH107" s="58" t="e">
        <f>#REF!-#REF!</f>
        <v>#REF!</v>
      </c>
    </row>
    <row r="108" spans="2:34" ht="13.5" thickTop="1">
      <c r="B108" s="26" t="s">
        <v>36</v>
      </c>
      <c r="C108" s="56">
        <f>SUM(C97:C107)</f>
        <v>22275</v>
      </c>
      <c r="D108" s="56">
        <f aca="true" t="shared" si="23" ref="D108:AG108">SUM(D97:D107)</f>
        <v>21437</v>
      </c>
      <c r="E108" s="56">
        <f t="shared" si="23"/>
        <v>22452</v>
      </c>
      <c r="F108" s="56">
        <f t="shared" si="23"/>
        <v>22404</v>
      </c>
      <c r="G108" s="56">
        <f t="shared" si="23"/>
        <v>23232</v>
      </c>
      <c r="H108" s="56">
        <f t="shared" si="23"/>
        <v>23522</v>
      </c>
      <c r="I108" s="56">
        <f t="shared" si="23"/>
        <v>22841</v>
      </c>
      <c r="J108" s="56">
        <f t="shared" si="23"/>
        <v>20988</v>
      </c>
      <c r="K108" s="56">
        <f t="shared" si="23"/>
        <v>25459</v>
      </c>
      <c r="L108" s="56">
        <f t="shared" si="23"/>
        <v>23777</v>
      </c>
      <c r="M108" s="56">
        <f t="shared" si="23"/>
        <v>24582</v>
      </c>
      <c r="N108" s="56">
        <f t="shared" si="23"/>
        <v>24309</v>
      </c>
      <c r="O108" s="56">
        <f t="shared" si="23"/>
        <v>23726</v>
      </c>
      <c r="P108" s="56">
        <f t="shared" si="23"/>
        <v>23857</v>
      </c>
      <c r="Q108" s="56">
        <f t="shared" si="23"/>
        <v>23882</v>
      </c>
      <c r="R108" s="56">
        <f t="shared" si="23"/>
        <v>24054</v>
      </c>
      <c r="S108" s="56">
        <f t="shared" si="23"/>
        <v>24533</v>
      </c>
      <c r="T108" s="56">
        <f t="shared" si="23"/>
        <v>25157</v>
      </c>
      <c r="U108" s="56">
        <f t="shared" si="23"/>
        <v>24462</v>
      </c>
      <c r="V108" s="56">
        <f t="shared" si="23"/>
        <v>24366</v>
      </c>
      <c r="W108" s="56">
        <f t="shared" si="23"/>
        <v>26067</v>
      </c>
      <c r="X108" s="56">
        <f t="shared" si="23"/>
        <v>24153</v>
      </c>
      <c r="Y108" s="56">
        <f t="shared" si="23"/>
        <v>26235</v>
      </c>
      <c r="Z108" s="56">
        <f t="shared" si="23"/>
        <v>25946</v>
      </c>
      <c r="AA108" s="56">
        <f t="shared" si="23"/>
        <v>25030</v>
      </c>
      <c r="AB108" s="56">
        <f t="shared" si="23"/>
        <v>25646</v>
      </c>
      <c r="AC108" s="56">
        <f t="shared" si="23"/>
        <v>25005</v>
      </c>
      <c r="AD108" s="56">
        <f t="shared" si="23"/>
        <v>27121</v>
      </c>
      <c r="AE108" s="56">
        <f t="shared" si="23"/>
        <v>26651</v>
      </c>
      <c r="AF108" s="56">
        <f t="shared" si="23"/>
        <v>25771</v>
      </c>
      <c r="AG108" s="56">
        <f t="shared" si="23"/>
        <v>28189</v>
      </c>
      <c r="AH108" s="58" t="e">
        <f>#REF!-#REF!</f>
        <v>#REF!</v>
      </c>
    </row>
    <row r="109" spans="2:34" s="14" customFormat="1" ht="12.75">
      <c r="B109" s="67" t="s">
        <v>37</v>
      </c>
      <c r="C109" s="68">
        <f>SUM(C97:C99)</f>
        <v>10026</v>
      </c>
      <c r="D109" s="68">
        <f aca="true" t="shared" si="24" ref="D109:AG109">SUM(D97:D99)</f>
        <v>9638</v>
      </c>
      <c r="E109" s="68">
        <f t="shared" si="24"/>
        <v>10020</v>
      </c>
      <c r="F109" s="68">
        <f t="shared" si="24"/>
        <v>9919</v>
      </c>
      <c r="G109" s="68">
        <f t="shared" si="24"/>
        <v>10173</v>
      </c>
      <c r="H109" s="68">
        <f t="shared" si="24"/>
        <v>10283</v>
      </c>
      <c r="I109" s="68">
        <f t="shared" si="24"/>
        <v>9925</v>
      </c>
      <c r="J109" s="68">
        <f t="shared" si="24"/>
        <v>9078</v>
      </c>
      <c r="K109" s="68">
        <f t="shared" si="24"/>
        <v>10711</v>
      </c>
      <c r="L109" s="68">
        <f t="shared" si="24"/>
        <v>9958</v>
      </c>
      <c r="M109" s="68">
        <f t="shared" si="24"/>
        <v>10300</v>
      </c>
      <c r="N109" s="68">
        <f t="shared" si="24"/>
        <v>10079</v>
      </c>
      <c r="O109" s="68">
        <f t="shared" si="24"/>
        <v>9803</v>
      </c>
      <c r="P109" s="68">
        <f t="shared" si="24"/>
        <v>9812</v>
      </c>
      <c r="Q109" s="68">
        <f t="shared" si="24"/>
        <v>9757</v>
      </c>
      <c r="R109" s="68">
        <f t="shared" si="24"/>
        <v>9703</v>
      </c>
      <c r="S109" s="68">
        <f t="shared" si="24"/>
        <v>9827</v>
      </c>
      <c r="T109" s="68">
        <f t="shared" si="24"/>
        <v>9921</v>
      </c>
      <c r="U109" s="68">
        <f t="shared" si="24"/>
        <v>9667</v>
      </c>
      <c r="V109" s="68">
        <f t="shared" si="24"/>
        <v>9489</v>
      </c>
      <c r="W109" s="68">
        <f t="shared" si="24"/>
        <v>9927</v>
      </c>
      <c r="X109" s="68">
        <f t="shared" si="24"/>
        <v>9097</v>
      </c>
      <c r="Y109" s="68">
        <f t="shared" si="24"/>
        <v>9798</v>
      </c>
      <c r="Z109" s="68">
        <f t="shared" si="24"/>
        <v>9589</v>
      </c>
      <c r="AA109" s="68">
        <f t="shared" si="24"/>
        <v>9143</v>
      </c>
      <c r="AB109" s="68">
        <f t="shared" si="24"/>
        <v>9425</v>
      </c>
      <c r="AC109" s="68">
        <f t="shared" si="24"/>
        <v>8998</v>
      </c>
      <c r="AD109" s="68">
        <f t="shared" si="24"/>
        <v>9679</v>
      </c>
      <c r="AE109" s="68">
        <f t="shared" si="24"/>
        <v>9409</v>
      </c>
      <c r="AF109" s="68">
        <f t="shared" si="24"/>
        <v>9021</v>
      </c>
      <c r="AG109" s="68">
        <f t="shared" si="24"/>
        <v>9779</v>
      </c>
      <c r="AH109" s="58" t="e">
        <f>#REF!-#REF!</f>
        <v>#REF!</v>
      </c>
    </row>
    <row r="110" spans="2:34" s="14" customFormat="1" ht="13.5" thickBot="1">
      <c r="B110" s="64" t="s">
        <v>40</v>
      </c>
      <c r="C110" s="66">
        <f>C97+C98+C100+C101+C102</f>
        <v>17210</v>
      </c>
      <c r="D110" s="66">
        <f aca="true" t="shared" si="25" ref="D110:AG110">D97+D98+D100+D101+D102</f>
        <v>16565</v>
      </c>
      <c r="E110" s="66">
        <f t="shared" si="25"/>
        <v>17408</v>
      </c>
      <c r="F110" s="66">
        <f t="shared" si="25"/>
        <v>17422</v>
      </c>
      <c r="G110" s="66">
        <f t="shared" si="25"/>
        <v>18083</v>
      </c>
      <c r="H110" s="66">
        <f t="shared" si="25"/>
        <v>18304</v>
      </c>
      <c r="I110" s="66">
        <f t="shared" si="25"/>
        <v>17883</v>
      </c>
      <c r="J110" s="66">
        <f t="shared" si="25"/>
        <v>16372</v>
      </c>
      <c r="K110" s="66">
        <f t="shared" si="25"/>
        <v>19713</v>
      </c>
      <c r="L110" s="66">
        <f t="shared" si="25"/>
        <v>18408</v>
      </c>
      <c r="M110" s="66">
        <f t="shared" si="25"/>
        <v>19006</v>
      </c>
      <c r="N110" s="66">
        <f t="shared" si="25"/>
        <v>18725</v>
      </c>
      <c r="O110" s="66">
        <f t="shared" si="25"/>
        <v>18251</v>
      </c>
      <c r="P110" s="66">
        <f t="shared" si="25"/>
        <v>18318</v>
      </c>
      <c r="Q110" s="66">
        <f t="shared" si="25"/>
        <v>18302</v>
      </c>
      <c r="R110" s="66">
        <f t="shared" si="25"/>
        <v>18317</v>
      </c>
      <c r="S110" s="66">
        <f t="shared" si="25"/>
        <v>18771</v>
      </c>
      <c r="T110" s="66">
        <f t="shared" si="25"/>
        <v>19194</v>
      </c>
      <c r="U110" s="66">
        <f t="shared" si="25"/>
        <v>18708</v>
      </c>
      <c r="V110" s="66">
        <f t="shared" si="25"/>
        <v>18681</v>
      </c>
      <c r="W110" s="66">
        <f t="shared" si="25"/>
        <v>19909</v>
      </c>
      <c r="X110" s="66">
        <f t="shared" si="25"/>
        <v>18481</v>
      </c>
      <c r="Y110" s="66">
        <f t="shared" si="25"/>
        <v>20048</v>
      </c>
      <c r="Z110" s="66">
        <f t="shared" si="25"/>
        <v>19850</v>
      </c>
      <c r="AA110" s="66">
        <f t="shared" si="25"/>
        <v>19125</v>
      </c>
      <c r="AB110" s="66">
        <f t="shared" si="25"/>
        <v>19555</v>
      </c>
      <c r="AC110" s="66">
        <f t="shared" si="25"/>
        <v>19060</v>
      </c>
      <c r="AD110" s="66">
        <f t="shared" si="25"/>
        <v>20604</v>
      </c>
      <c r="AE110" s="66">
        <f t="shared" si="25"/>
        <v>20222</v>
      </c>
      <c r="AF110" s="66">
        <f t="shared" si="25"/>
        <v>19616</v>
      </c>
      <c r="AG110" s="66">
        <f t="shared" si="25"/>
        <v>21347</v>
      </c>
      <c r="AH110" s="58" t="e">
        <f>#REF!-#REF!</f>
        <v>#REF!</v>
      </c>
    </row>
    <row r="111" spans="2:33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2:33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2:33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spans="2:33" ht="13.5" thickBot="1">
      <c r="B114" s="57" t="s">
        <v>0</v>
      </c>
      <c r="C114" s="55">
        <v>38169</v>
      </c>
      <c r="D114" s="55">
        <v>38200</v>
      </c>
      <c r="E114" s="55">
        <v>38231</v>
      </c>
      <c r="F114" s="55">
        <v>38261</v>
      </c>
      <c r="G114" s="55">
        <v>38292</v>
      </c>
      <c r="H114" s="55">
        <v>38322</v>
      </c>
      <c r="I114" s="55">
        <v>38353</v>
      </c>
      <c r="J114" s="55">
        <v>38384</v>
      </c>
      <c r="K114" s="55">
        <v>38412</v>
      </c>
      <c r="L114" s="55">
        <v>38443</v>
      </c>
      <c r="M114" s="55">
        <v>38473</v>
      </c>
      <c r="N114" s="55">
        <v>38504</v>
      </c>
      <c r="O114" s="55">
        <v>38534</v>
      </c>
      <c r="P114" s="55">
        <v>38565</v>
      </c>
      <c r="Q114" s="55">
        <v>38596</v>
      </c>
      <c r="R114" s="55">
        <v>38626</v>
      </c>
      <c r="S114" s="55">
        <v>38657</v>
      </c>
      <c r="T114" s="55">
        <v>38687</v>
      </c>
      <c r="U114" s="55">
        <v>38718</v>
      </c>
      <c r="V114" s="55">
        <v>38749</v>
      </c>
      <c r="W114" s="55">
        <v>38777</v>
      </c>
      <c r="X114" s="55">
        <v>38808</v>
      </c>
      <c r="Y114" s="55">
        <v>38838</v>
      </c>
      <c r="Z114" s="55">
        <v>38869</v>
      </c>
      <c r="AA114" s="55">
        <v>38899</v>
      </c>
      <c r="AB114" s="55">
        <v>38930</v>
      </c>
      <c r="AC114" s="55">
        <v>38961</v>
      </c>
      <c r="AD114" s="55">
        <v>38991</v>
      </c>
      <c r="AE114" s="55">
        <v>39022</v>
      </c>
      <c r="AF114" s="55">
        <v>39052</v>
      </c>
      <c r="AG114" s="55">
        <v>39083</v>
      </c>
    </row>
    <row r="115" spans="2:33" ht="13.5" thickTop="1">
      <c r="B115" s="30" t="s">
        <v>27</v>
      </c>
      <c r="C115" s="31">
        <f aca="true" t="shared" si="26" ref="C115:C127">C97/C$108</f>
        <v>0.19313131313131313</v>
      </c>
      <c r="D115" s="31">
        <f aca="true" t="shared" si="27" ref="D115:R115">D97/D$108</f>
        <v>0.1933572794700751</v>
      </c>
      <c r="E115" s="31">
        <f t="shared" si="27"/>
        <v>0.1905398182789952</v>
      </c>
      <c r="F115" s="31">
        <f t="shared" si="27"/>
        <v>0.18925191930012497</v>
      </c>
      <c r="G115" s="31">
        <f t="shared" si="27"/>
        <v>0.18754304407713498</v>
      </c>
      <c r="H115" s="31">
        <f t="shared" si="27"/>
        <v>0.18676132981889296</v>
      </c>
      <c r="I115" s="31">
        <f t="shared" si="27"/>
        <v>0.18646293945098727</v>
      </c>
      <c r="J115" s="31">
        <f t="shared" si="27"/>
        <v>0.18377167905469793</v>
      </c>
      <c r="K115" s="31">
        <f t="shared" si="27"/>
        <v>0.17997564711889705</v>
      </c>
      <c r="L115" s="31">
        <f t="shared" si="27"/>
        <v>0.17723009631156159</v>
      </c>
      <c r="M115" s="31">
        <f t="shared" si="27"/>
        <v>0.18123016841591408</v>
      </c>
      <c r="N115" s="31">
        <f t="shared" si="27"/>
        <v>0.18075609856431774</v>
      </c>
      <c r="O115" s="31">
        <f t="shared" si="27"/>
        <v>0.18018207873219252</v>
      </c>
      <c r="P115" s="31">
        <f t="shared" si="27"/>
        <v>0.18162384205893448</v>
      </c>
      <c r="Q115" s="31">
        <f t="shared" si="27"/>
        <v>0.17954945146972615</v>
      </c>
      <c r="R115" s="31">
        <f t="shared" si="27"/>
        <v>0.1789307391702004</v>
      </c>
      <c r="S115" s="31">
        <f aca="true" t="shared" si="28" ref="S115:AB115">S97/S$108</f>
        <v>0.17906493294745854</v>
      </c>
      <c r="T115" s="31">
        <f t="shared" si="28"/>
        <v>0.17708788806296458</v>
      </c>
      <c r="U115" s="31">
        <f t="shared" si="28"/>
        <v>0.1779494726514594</v>
      </c>
      <c r="V115" s="31">
        <f t="shared" si="28"/>
        <v>0.1752031519330214</v>
      </c>
      <c r="W115" s="31">
        <f t="shared" si="28"/>
        <v>0.17309241569800898</v>
      </c>
      <c r="X115" s="31">
        <f t="shared" si="28"/>
        <v>0.16763963068769924</v>
      </c>
      <c r="Y115" s="31">
        <f t="shared" si="28"/>
        <v>0.16843910806174958</v>
      </c>
      <c r="Z115" s="31">
        <f t="shared" si="28"/>
        <v>0.16715486009404146</v>
      </c>
      <c r="AA115" s="31">
        <f t="shared" si="28"/>
        <v>0.16232520974830203</v>
      </c>
      <c r="AB115" s="31">
        <f t="shared" si="28"/>
        <v>0.1632613273025033</v>
      </c>
      <c r="AC115" s="31">
        <f aca="true" t="shared" si="29" ref="AC115:AG123">AC97/AC$108</f>
        <v>0.16244751049790043</v>
      </c>
      <c r="AD115" s="31">
        <f t="shared" si="29"/>
        <v>0.15843811068913388</v>
      </c>
      <c r="AE115" s="31">
        <f t="shared" si="29"/>
        <v>0.1554538291246107</v>
      </c>
      <c r="AF115" s="31">
        <f t="shared" si="29"/>
        <v>0.15556245392107407</v>
      </c>
      <c r="AG115" s="31">
        <f t="shared" si="29"/>
        <v>0.15271914576607898</v>
      </c>
    </row>
    <row r="116" spans="2:33" ht="12.75">
      <c r="B116" s="22" t="s">
        <v>28</v>
      </c>
      <c r="C116" s="27">
        <f t="shared" si="26"/>
        <v>0.25696969696969696</v>
      </c>
      <c r="D116" s="27">
        <f aca="true" t="shared" si="30" ref="D116:R116">D98/D$108</f>
        <v>0.2562392125763866</v>
      </c>
      <c r="E116" s="27">
        <f t="shared" si="30"/>
        <v>0.2557455905932656</v>
      </c>
      <c r="F116" s="27">
        <f t="shared" si="30"/>
        <v>0.2534815211569363</v>
      </c>
      <c r="G116" s="27">
        <f t="shared" si="30"/>
        <v>0.2503443526170799</v>
      </c>
      <c r="H116" s="27">
        <f t="shared" si="30"/>
        <v>0.25040387722132473</v>
      </c>
      <c r="I116" s="27">
        <f t="shared" si="30"/>
        <v>0.24806269427783373</v>
      </c>
      <c r="J116" s="27">
        <f t="shared" si="30"/>
        <v>0.24876119687440443</v>
      </c>
      <c r="K116" s="27">
        <f t="shared" si="30"/>
        <v>0.24074001335480577</v>
      </c>
      <c r="L116" s="27">
        <f t="shared" si="30"/>
        <v>0.24157799554191026</v>
      </c>
      <c r="M116" s="27">
        <f t="shared" si="30"/>
        <v>0.23777560816857862</v>
      </c>
      <c r="N116" s="27">
        <f t="shared" si="30"/>
        <v>0.23386400098728866</v>
      </c>
      <c r="O116" s="27">
        <f t="shared" si="30"/>
        <v>0.2329933406389615</v>
      </c>
      <c r="P116" s="27">
        <f t="shared" si="30"/>
        <v>0.22966005784465776</v>
      </c>
      <c r="Q116" s="27">
        <f t="shared" si="30"/>
        <v>0.22900092119587975</v>
      </c>
      <c r="R116" s="27">
        <f t="shared" si="30"/>
        <v>0.22445331337823232</v>
      </c>
      <c r="S116" s="27">
        <f aca="true" t="shared" si="31" ref="S116:AB116">S98/S$108</f>
        <v>0.22149757469530837</v>
      </c>
      <c r="T116" s="27">
        <f t="shared" si="31"/>
        <v>0.21727550979846563</v>
      </c>
      <c r="U116" s="27">
        <f t="shared" si="31"/>
        <v>0.2172348949390892</v>
      </c>
      <c r="V116" s="27">
        <f t="shared" si="31"/>
        <v>0.21423294754986458</v>
      </c>
      <c r="W116" s="27">
        <f t="shared" si="31"/>
        <v>0.20773391644608125</v>
      </c>
      <c r="X116" s="27">
        <f t="shared" si="31"/>
        <v>0.20900095226265888</v>
      </c>
      <c r="Y116" s="27">
        <f t="shared" si="31"/>
        <v>0.2050314465408805</v>
      </c>
      <c r="Z116" s="27">
        <f t="shared" si="31"/>
        <v>0.20095583134201803</v>
      </c>
      <c r="AA116" s="27">
        <f t="shared" si="31"/>
        <v>0.19960047942469036</v>
      </c>
      <c r="AB116" s="27">
        <f t="shared" si="31"/>
        <v>0.20026514856117913</v>
      </c>
      <c r="AC116" s="27">
        <f t="shared" si="29"/>
        <v>0.1921615676864627</v>
      </c>
      <c r="AD116" s="27">
        <f t="shared" si="29"/>
        <v>0.1905165738726448</v>
      </c>
      <c r="AE116" s="27">
        <f t="shared" si="29"/>
        <v>0.18869836028666842</v>
      </c>
      <c r="AF116" s="27">
        <f t="shared" si="29"/>
        <v>0.18427690039191338</v>
      </c>
      <c r="AG116" s="27">
        <f t="shared" si="29"/>
        <v>0.18429174500691758</v>
      </c>
    </row>
    <row r="117" spans="2:33" ht="12.75">
      <c r="B117" s="22" t="s">
        <v>39</v>
      </c>
      <c r="C117" s="27">
        <f t="shared" si="26"/>
        <v>0</v>
      </c>
      <c r="D117" s="27">
        <f aca="true" t="shared" si="32" ref="D117:R117">D99/D$108</f>
        <v>0</v>
      </c>
      <c r="E117" s="27">
        <f t="shared" si="32"/>
        <v>0</v>
      </c>
      <c r="F117" s="27">
        <f t="shared" si="32"/>
        <v>0</v>
      </c>
      <c r="G117" s="27">
        <f t="shared" si="32"/>
        <v>0</v>
      </c>
      <c r="H117" s="27">
        <f t="shared" si="32"/>
        <v>0</v>
      </c>
      <c r="I117" s="27">
        <f t="shared" si="32"/>
        <v>0</v>
      </c>
      <c r="J117" s="27">
        <f t="shared" si="32"/>
        <v>0</v>
      </c>
      <c r="K117" s="27">
        <f t="shared" si="32"/>
        <v>0</v>
      </c>
      <c r="L117" s="27">
        <f t="shared" si="32"/>
        <v>0</v>
      </c>
      <c r="M117" s="27">
        <f t="shared" si="32"/>
        <v>0</v>
      </c>
      <c r="N117" s="27">
        <f t="shared" si="32"/>
        <v>0</v>
      </c>
      <c r="O117" s="27">
        <f t="shared" si="32"/>
        <v>0</v>
      </c>
      <c r="P117" s="27">
        <f t="shared" si="32"/>
        <v>0</v>
      </c>
      <c r="Q117" s="27">
        <f t="shared" si="32"/>
        <v>0</v>
      </c>
      <c r="R117" s="27">
        <f t="shared" si="32"/>
        <v>0</v>
      </c>
      <c r="S117" s="27">
        <f aca="true" t="shared" si="33" ref="S117:AB117">S99/S$108</f>
        <v>0</v>
      </c>
      <c r="T117" s="27">
        <f t="shared" si="33"/>
        <v>0</v>
      </c>
      <c r="U117" s="27">
        <f t="shared" si="33"/>
        <v>0</v>
      </c>
      <c r="V117" s="27">
        <f t="shared" si="33"/>
        <v>0</v>
      </c>
      <c r="W117" s="27">
        <f t="shared" si="33"/>
        <v>0</v>
      </c>
      <c r="X117" s="27">
        <f t="shared" si="33"/>
        <v>0</v>
      </c>
      <c r="Y117" s="27">
        <f t="shared" si="33"/>
        <v>0</v>
      </c>
      <c r="Z117" s="27">
        <f t="shared" si="33"/>
        <v>0.0014645802821244122</v>
      </c>
      <c r="AA117" s="27">
        <f t="shared" si="33"/>
        <v>0.003355972832600879</v>
      </c>
      <c r="AB117" s="27">
        <f t="shared" si="33"/>
        <v>0.0039772284176869685</v>
      </c>
      <c r="AC117" s="27">
        <f t="shared" si="29"/>
        <v>0.005238952209558089</v>
      </c>
      <c r="AD117" s="27">
        <f t="shared" si="29"/>
        <v>0.007927436303971093</v>
      </c>
      <c r="AE117" s="27">
        <f t="shared" si="29"/>
        <v>0.008892724475629433</v>
      </c>
      <c r="AF117" s="27">
        <f t="shared" si="29"/>
        <v>0.01020526948896046</v>
      </c>
      <c r="AG117" s="27">
        <f t="shared" si="29"/>
        <v>0.009897477739543794</v>
      </c>
    </row>
    <row r="118" spans="2:33" ht="12.75">
      <c r="B118" s="22" t="s">
        <v>29</v>
      </c>
      <c r="C118" s="27">
        <f t="shared" si="26"/>
        <v>0.06388327721661055</v>
      </c>
      <c r="D118" s="27">
        <f aca="true" t="shared" si="34" ref="D118:R118">D100/D$108</f>
        <v>0.06409478938284274</v>
      </c>
      <c r="E118" s="27">
        <f t="shared" si="34"/>
        <v>0.06511669339034384</v>
      </c>
      <c r="F118" s="27">
        <f t="shared" si="34"/>
        <v>0.06494376004284949</v>
      </c>
      <c r="G118" s="27">
        <f t="shared" si="34"/>
        <v>0.06585743801652892</v>
      </c>
      <c r="H118" s="27">
        <f t="shared" si="34"/>
        <v>0.0644503018450812</v>
      </c>
      <c r="I118" s="27">
        <f t="shared" si="34"/>
        <v>0.06514600936911694</v>
      </c>
      <c r="J118" s="27">
        <f t="shared" si="34"/>
        <v>0.0651324566418906</v>
      </c>
      <c r="K118" s="27">
        <f t="shared" si="34"/>
        <v>0.06492792332770336</v>
      </c>
      <c r="L118" s="27">
        <f t="shared" si="34"/>
        <v>0.0642217268789166</v>
      </c>
      <c r="M118" s="27">
        <f t="shared" si="34"/>
        <v>0.06407127166219184</v>
      </c>
      <c r="N118" s="27">
        <f t="shared" si="34"/>
        <v>0.06446172199596857</v>
      </c>
      <c r="O118" s="27">
        <f t="shared" si="34"/>
        <v>0.0636432605580376</v>
      </c>
      <c r="P118" s="27">
        <f t="shared" si="34"/>
        <v>0.06283271157312319</v>
      </c>
      <c r="Q118" s="27">
        <f t="shared" si="34"/>
        <v>0.06326940792228457</v>
      </c>
      <c r="R118" s="27">
        <f t="shared" si="34"/>
        <v>0.06364845763698346</v>
      </c>
      <c r="S118" s="27">
        <f aca="true" t="shared" si="35" ref="S118:AB118">S100/S$108</f>
        <v>0.06220193209146863</v>
      </c>
      <c r="T118" s="27">
        <f t="shared" si="35"/>
        <v>0.06248757801009659</v>
      </c>
      <c r="U118" s="27">
        <f t="shared" si="35"/>
        <v>0.06168751532989943</v>
      </c>
      <c r="V118" s="27">
        <f t="shared" si="35"/>
        <v>0.06172535500287286</v>
      </c>
      <c r="W118" s="27">
        <f t="shared" si="35"/>
        <v>0.06168719070088618</v>
      </c>
      <c r="X118" s="27">
        <f t="shared" si="35"/>
        <v>0.06131743468720242</v>
      </c>
      <c r="Y118" s="27">
        <f t="shared" si="35"/>
        <v>0.05942443300933867</v>
      </c>
      <c r="Z118" s="27">
        <f t="shared" si="35"/>
        <v>0.05919987666692361</v>
      </c>
      <c r="AA118" s="27">
        <f t="shared" si="35"/>
        <v>0.058050339592489016</v>
      </c>
      <c r="AB118" s="27">
        <f t="shared" si="35"/>
        <v>0.05747484987912345</v>
      </c>
      <c r="AC118" s="27">
        <f t="shared" si="29"/>
        <v>0.05786842631473705</v>
      </c>
      <c r="AD118" s="27">
        <f t="shared" si="29"/>
        <v>0.058073079901183586</v>
      </c>
      <c r="AE118" s="27">
        <f t="shared" si="29"/>
        <v>0.057221117406476306</v>
      </c>
      <c r="AF118" s="27">
        <f t="shared" si="29"/>
        <v>0.05572154747584494</v>
      </c>
      <c r="AG118" s="27">
        <f t="shared" si="29"/>
        <v>0.0542410159991486</v>
      </c>
    </row>
    <row r="119" spans="2:33" ht="12.75">
      <c r="B119" s="22" t="s">
        <v>30</v>
      </c>
      <c r="C119" s="27">
        <f t="shared" si="26"/>
        <v>0.23173961840628507</v>
      </c>
      <c r="D119" s="27">
        <f aca="true" t="shared" si="36" ref="D119:R119">D101/D$108</f>
        <v>0.23128236227084015</v>
      </c>
      <c r="E119" s="27">
        <f t="shared" si="36"/>
        <v>0.233787635845359</v>
      </c>
      <c r="F119" s="27">
        <f t="shared" si="36"/>
        <v>0.23652026423852884</v>
      </c>
      <c r="G119" s="27">
        <f t="shared" si="36"/>
        <v>0.23682851239669422</v>
      </c>
      <c r="H119" s="27">
        <f t="shared" si="36"/>
        <v>0.23862766771533034</v>
      </c>
      <c r="I119" s="27">
        <f t="shared" si="36"/>
        <v>0.24289654568539032</v>
      </c>
      <c r="J119" s="27">
        <f t="shared" si="36"/>
        <v>0.24204307223175148</v>
      </c>
      <c r="K119" s="27">
        <f t="shared" si="36"/>
        <v>0.2463961663851683</v>
      </c>
      <c r="L119" s="27">
        <f t="shared" si="36"/>
        <v>0.2478445556630357</v>
      </c>
      <c r="M119" s="27">
        <f t="shared" si="36"/>
        <v>0.24485395818078268</v>
      </c>
      <c r="N119" s="27">
        <f t="shared" si="36"/>
        <v>0.2451766835328479</v>
      </c>
      <c r="O119" s="27">
        <f t="shared" si="36"/>
        <v>0.245721992750569</v>
      </c>
      <c r="P119" s="27">
        <f t="shared" si="36"/>
        <v>0.24583979544787693</v>
      </c>
      <c r="Q119" s="27">
        <f t="shared" si="36"/>
        <v>0.24641989783100243</v>
      </c>
      <c r="R119" s="27">
        <f t="shared" si="36"/>
        <v>0.24594662010476429</v>
      </c>
      <c r="S119" s="27">
        <f aca="true" t="shared" si="37" ref="S119:AB119">S101/S$108</f>
        <v>0.25227244935393145</v>
      </c>
      <c r="T119" s="27">
        <f t="shared" si="37"/>
        <v>0.2538855984417856</v>
      </c>
      <c r="U119" s="27">
        <f t="shared" si="37"/>
        <v>0.2545989698307579</v>
      </c>
      <c r="V119" s="27">
        <f t="shared" si="37"/>
        <v>0.25437084461955184</v>
      </c>
      <c r="W119" s="27">
        <f t="shared" si="37"/>
        <v>0.2520811754325392</v>
      </c>
      <c r="X119" s="27">
        <f t="shared" si="37"/>
        <v>0.25363308905725995</v>
      </c>
      <c r="Y119" s="27">
        <f t="shared" si="37"/>
        <v>0.253135124833238</v>
      </c>
      <c r="Z119" s="27">
        <f t="shared" si="37"/>
        <v>0.25144530948893856</v>
      </c>
      <c r="AA119" s="27">
        <f t="shared" si="37"/>
        <v>0.25241709948062324</v>
      </c>
      <c r="AB119" s="27">
        <f t="shared" si="37"/>
        <v>0.24986352647586368</v>
      </c>
      <c r="AC119" s="27">
        <f t="shared" si="29"/>
        <v>0.25166966606678665</v>
      </c>
      <c r="AD119" s="27">
        <f t="shared" si="29"/>
        <v>0.248737140960879</v>
      </c>
      <c r="AE119" s="27">
        <f t="shared" si="29"/>
        <v>0.24967168211324153</v>
      </c>
      <c r="AF119" s="27">
        <f t="shared" si="29"/>
        <v>0.2525319157192193</v>
      </c>
      <c r="AG119" s="27">
        <f t="shared" si="29"/>
        <v>0.2512682251942247</v>
      </c>
    </row>
    <row r="120" spans="2:33" ht="12.75">
      <c r="B120" s="22" t="s">
        <v>31</v>
      </c>
      <c r="C120" s="27">
        <f t="shared" si="26"/>
        <v>0.026891133557800224</v>
      </c>
      <c r="D120" s="27">
        <f aca="true" t="shared" si="38" ref="D120:R120">D102/D$108</f>
        <v>0.02775574940523394</v>
      </c>
      <c r="E120" s="27">
        <f t="shared" si="38"/>
        <v>0.03015321574915375</v>
      </c>
      <c r="F120" s="27">
        <f t="shared" si="38"/>
        <v>0.033431530083913585</v>
      </c>
      <c r="G120" s="27">
        <f t="shared" si="38"/>
        <v>0.0377926997245179</v>
      </c>
      <c r="H120" s="27">
        <f t="shared" si="38"/>
        <v>0.03792194541280503</v>
      </c>
      <c r="I120" s="27">
        <f t="shared" si="38"/>
        <v>0.040366008493498536</v>
      </c>
      <c r="J120" s="27">
        <f t="shared" si="38"/>
        <v>0.04035639412997904</v>
      </c>
      <c r="K120" s="27">
        <f t="shared" si="38"/>
        <v>0.042264032365764564</v>
      </c>
      <c r="L120" s="27">
        <f t="shared" si="38"/>
        <v>0.04331917399167262</v>
      </c>
      <c r="M120" s="27">
        <f t="shared" si="38"/>
        <v>0.04523635180213164</v>
      </c>
      <c r="N120" s="27">
        <f t="shared" si="38"/>
        <v>0.04603233370356658</v>
      </c>
      <c r="O120" s="27">
        <f t="shared" si="38"/>
        <v>0.04669982297901037</v>
      </c>
      <c r="P120" s="27">
        <f t="shared" si="38"/>
        <v>0.04786855011107851</v>
      </c>
      <c r="Q120" s="27">
        <f t="shared" si="38"/>
        <v>0.04811154844652877</v>
      </c>
      <c r="R120" s="27">
        <f t="shared" si="38"/>
        <v>0.04851583936143677</v>
      </c>
      <c r="S120" s="27">
        <f aca="true" t="shared" si="39" ref="S120:AB120">S102/S$108</f>
        <v>0.05009578934496393</v>
      </c>
      <c r="T120" s="27">
        <f t="shared" si="39"/>
        <v>0.052231983145844096</v>
      </c>
      <c r="U120" s="27">
        <f t="shared" si="39"/>
        <v>0.0533071703049628</v>
      </c>
      <c r="V120" s="27">
        <f t="shared" si="39"/>
        <v>0.0611507838791759</v>
      </c>
      <c r="W120" s="27">
        <f t="shared" si="39"/>
        <v>0.06916791345379215</v>
      </c>
      <c r="X120" s="27">
        <f t="shared" si="39"/>
        <v>0.07357264107978305</v>
      </c>
      <c r="Y120" s="27">
        <f t="shared" si="39"/>
        <v>0.07813988946064418</v>
      </c>
      <c r="Z120" s="27">
        <f t="shared" si="39"/>
        <v>0.08629461188622524</v>
      </c>
      <c r="AA120" s="27">
        <f t="shared" si="39"/>
        <v>0.09168997203355973</v>
      </c>
      <c r="AB120" s="27">
        <f t="shared" si="39"/>
        <v>0.09163222334867036</v>
      </c>
      <c r="AC120" s="27">
        <f t="shared" si="29"/>
        <v>0.0981003799240152</v>
      </c>
      <c r="AD120" s="27">
        <f t="shared" si="29"/>
        <v>0.10394159507392796</v>
      </c>
      <c r="AE120" s="27">
        <f t="shared" si="29"/>
        <v>0.10772578890097932</v>
      </c>
      <c r="AF120" s="27">
        <f t="shared" si="29"/>
        <v>0.11307283380544023</v>
      </c>
      <c r="AG120" s="27">
        <f t="shared" si="29"/>
        <v>0.11476107701585725</v>
      </c>
    </row>
    <row r="121" spans="2:33" ht="12.75">
      <c r="B121" s="22" t="s">
        <v>32</v>
      </c>
      <c r="C121" s="27">
        <f t="shared" si="26"/>
        <v>0</v>
      </c>
      <c r="D121" s="27">
        <f aca="true" t="shared" si="40" ref="D121:R121">D103/D$108</f>
        <v>0</v>
      </c>
      <c r="E121" s="27">
        <f t="shared" si="40"/>
        <v>0</v>
      </c>
      <c r="F121" s="27">
        <f t="shared" si="40"/>
        <v>0</v>
      </c>
      <c r="G121" s="27">
        <f t="shared" si="40"/>
        <v>0</v>
      </c>
      <c r="H121" s="27">
        <f t="shared" si="40"/>
        <v>0</v>
      </c>
      <c r="I121" s="27">
        <f t="shared" si="40"/>
        <v>0.0018825795718225998</v>
      </c>
      <c r="J121" s="27">
        <f t="shared" si="40"/>
        <v>0.006622832094530208</v>
      </c>
      <c r="K121" s="27">
        <f t="shared" si="40"/>
        <v>0.012412113594406693</v>
      </c>
      <c r="L121" s="27">
        <f t="shared" si="40"/>
        <v>0.017874416452874627</v>
      </c>
      <c r="M121" s="27">
        <f t="shared" si="40"/>
        <v>0.021438450899031812</v>
      </c>
      <c r="N121" s="27">
        <f t="shared" si="40"/>
        <v>0.023242420502694476</v>
      </c>
      <c r="O121" s="27">
        <f t="shared" si="40"/>
        <v>0.02427716429233752</v>
      </c>
      <c r="P121" s="27">
        <f t="shared" si="40"/>
        <v>0.025275600452697323</v>
      </c>
      <c r="Q121" s="27">
        <f t="shared" si="40"/>
        <v>0.027635876392261956</v>
      </c>
      <c r="R121" s="27">
        <f t="shared" si="40"/>
        <v>0.028519165211607217</v>
      </c>
      <c r="S121" s="27">
        <f aca="true" t="shared" si="41" ref="S121:AB121">S103/S$108</f>
        <v>0.029959646190844985</v>
      </c>
      <c r="T121" s="27">
        <f t="shared" si="41"/>
        <v>0.03187979488810271</v>
      </c>
      <c r="U121" s="27">
        <f t="shared" si="41"/>
        <v>0.03327610170877279</v>
      </c>
      <c r="V121" s="27">
        <f t="shared" si="41"/>
        <v>0.03262743166707707</v>
      </c>
      <c r="W121" s="27">
        <f t="shared" si="41"/>
        <v>0.033413894962980015</v>
      </c>
      <c r="X121" s="27">
        <f t="shared" si="41"/>
        <v>0.0342400529954871</v>
      </c>
      <c r="Y121" s="27">
        <f t="shared" si="41"/>
        <v>0.033009338669716025</v>
      </c>
      <c r="Z121" s="27">
        <f t="shared" si="41"/>
        <v>0.03268326524319741</v>
      </c>
      <c r="AA121" s="27">
        <f t="shared" si="41"/>
        <v>0.03212145425489413</v>
      </c>
      <c r="AB121" s="27">
        <f t="shared" si="41"/>
        <v>0.03302659284098885</v>
      </c>
      <c r="AC121" s="27">
        <f t="shared" si="29"/>
        <v>0.033153369326134774</v>
      </c>
      <c r="AD121" s="27">
        <f t="shared" si="29"/>
        <v>0.03384830942811843</v>
      </c>
      <c r="AE121" s="27">
        <f t="shared" si="29"/>
        <v>0.03482045701849837</v>
      </c>
      <c r="AF121" s="27">
        <f t="shared" si="29"/>
        <v>0.035078188661673976</v>
      </c>
      <c r="AG121" s="27">
        <f t="shared" si="29"/>
        <v>0.0355812550995069</v>
      </c>
    </row>
    <row r="122" spans="2:33" ht="12.75">
      <c r="B122" s="22" t="s">
        <v>33</v>
      </c>
      <c r="C122" s="27">
        <f t="shared" si="26"/>
        <v>0</v>
      </c>
      <c r="D122" s="27">
        <f aca="true" t="shared" si="42" ref="D122:R122">D104/D$108</f>
        <v>0</v>
      </c>
      <c r="E122" s="27">
        <f t="shared" si="42"/>
        <v>0</v>
      </c>
      <c r="F122" s="27">
        <f t="shared" si="42"/>
        <v>0</v>
      </c>
      <c r="G122" s="27">
        <f t="shared" si="42"/>
        <v>0</v>
      </c>
      <c r="H122" s="27">
        <f t="shared" si="42"/>
        <v>0</v>
      </c>
      <c r="I122" s="27">
        <f t="shared" si="42"/>
        <v>0</v>
      </c>
      <c r="J122" s="27">
        <f t="shared" si="42"/>
        <v>0</v>
      </c>
      <c r="K122" s="27">
        <f t="shared" si="42"/>
        <v>0</v>
      </c>
      <c r="L122" s="27">
        <f t="shared" si="42"/>
        <v>0</v>
      </c>
      <c r="M122" s="27">
        <f t="shared" si="42"/>
        <v>0</v>
      </c>
      <c r="N122" s="27">
        <f t="shared" si="42"/>
        <v>0</v>
      </c>
      <c r="O122" s="27">
        <f t="shared" si="42"/>
        <v>0</v>
      </c>
      <c r="P122" s="27">
        <f t="shared" si="42"/>
        <v>0</v>
      </c>
      <c r="Q122" s="27">
        <f t="shared" si="42"/>
        <v>0</v>
      </c>
      <c r="R122" s="27">
        <f t="shared" si="42"/>
        <v>0</v>
      </c>
      <c r="S122" s="27">
        <f aca="true" t="shared" si="43" ref="S122:AB122">S104/S$108</f>
        <v>0</v>
      </c>
      <c r="T122" s="27">
        <f t="shared" si="43"/>
        <v>0</v>
      </c>
      <c r="U122" s="27">
        <f t="shared" si="43"/>
        <v>0.0005314365137764696</v>
      </c>
      <c r="V122" s="27">
        <f t="shared" si="43"/>
        <v>0.0032832635639825987</v>
      </c>
      <c r="W122" s="27">
        <f t="shared" si="43"/>
        <v>0.005294049948210381</v>
      </c>
      <c r="X122" s="27">
        <f t="shared" si="43"/>
        <v>0.0069556576822754936</v>
      </c>
      <c r="Y122" s="27">
        <f t="shared" si="43"/>
        <v>0.008195159138555366</v>
      </c>
      <c r="Z122" s="27">
        <f t="shared" si="43"/>
        <v>0.010097895629384105</v>
      </c>
      <c r="AA122" s="27">
        <f t="shared" si="43"/>
        <v>0.011186576108669596</v>
      </c>
      <c r="AB122" s="27">
        <f t="shared" si="43"/>
        <v>0.0123216096077361</v>
      </c>
      <c r="AC122" s="27">
        <f t="shared" si="29"/>
        <v>0.013717256548690262</v>
      </c>
      <c r="AD122" s="27">
        <f t="shared" si="29"/>
        <v>0.015670513624128905</v>
      </c>
      <c r="AE122" s="27">
        <f t="shared" si="29"/>
        <v>0.01729766237664628</v>
      </c>
      <c r="AF122" s="27">
        <f t="shared" si="29"/>
        <v>0.018392767063753833</v>
      </c>
      <c r="AG122" s="27">
        <f t="shared" si="29"/>
        <v>0.020433502430025896</v>
      </c>
    </row>
    <row r="123" spans="2:33" ht="12.75">
      <c r="B123" s="22" t="s">
        <v>34</v>
      </c>
      <c r="C123" s="27">
        <f t="shared" si="26"/>
        <v>0.0033221099887766553</v>
      </c>
      <c r="D123" s="27">
        <f aca="true" t="shared" si="44" ref="D123:R123">D105/D$108</f>
        <v>0.0031254373279843263</v>
      </c>
      <c r="E123" s="27">
        <f t="shared" si="44"/>
        <v>0.003162301799394263</v>
      </c>
      <c r="F123" s="27">
        <f t="shared" si="44"/>
        <v>0.0033476164970540974</v>
      </c>
      <c r="G123" s="27">
        <f t="shared" si="44"/>
        <v>0.0035296143250688706</v>
      </c>
      <c r="H123" s="27">
        <f t="shared" si="44"/>
        <v>0.0034435847291896947</v>
      </c>
      <c r="I123" s="27">
        <f t="shared" si="44"/>
        <v>0.003239788100345869</v>
      </c>
      <c r="J123" s="27">
        <f t="shared" si="44"/>
        <v>0.0030493615399275775</v>
      </c>
      <c r="K123" s="27">
        <f t="shared" si="44"/>
        <v>0.0029066341961585295</v>
      </c>
      <c r="L123" s="27">
        <f t="shared" si="44"/>
        <v>0.002691676830550532</v>
      </c>
      <c r="M123" s="27">
        <f t="shared" si="44"/>
        <v>0.0030103327638109187</v>
      </c>
      <c r="N123" s="27">
        <f t="shared" si="44"/>
        <v>0.0026739067834958244</v>
      </c>
      <c r="O123" s="27">
        <f t="shared" si="44"/>
        <v>0.0025710191351260223</v>
      </c>
      <c r="P123" s="27">
        <f t="shared" si="44"/>
        <v>0.0029760657249444608</v>
      </c>
      <c r="Q123" s="27">
        <f t="shared" si="44"/>
        <v>0.002847332719202747</v>
      </c>
      <c r="R123" s="27">
        <f t="shared" si="44"/>
        <v>0.003201130789057953</v>
      </c>
      <c r="S123" s="27">
        <f aca="true" t="shared" si="45" ref="S123:AB123">S105/S$108</f>
        <v>0.0029348224840011414</v>
      </c>
      <c r="T123" s="27">
        <f t="shared" si="45"/>
        <v>0.0030210279445084865</v>
      </c>
      <c r="U123" s="27">
        <f t="shared" si="45"/>
        <v>0.0025754231052244297</v>
      </c>
      <c r="V123" s="27">
        <f t="shared" si="45"/>
        <v>0.0029138964130345562</v>
      </c>
      <c r="W123" s="27">
        <f t="shared" si="45"/>
        <v>0.0024552115701845247</v>
      </c>
      <c r="X123" s="27">
        <f t="shared" si="45"/>
        <v>0.0024013580093570157</v>
      </c>
      <c r="Y123" s="27">
        <f t="shared" si="45"/>
        <v>0.0025538402896893462</v>
      </c>
      <c r="Z123" s="27">
        <f t="shared" si="45"/>
        <v>0.002505203114160179</v>
      </c>
      <c r="AA123" s="27">
        <f t="shared" si="45"/>
        <v>0.0025968837395125848</v>
      </c>
      <c r="AB123" s="27">
        <f t="shared" si="45"/>
        <v>0.002183576386181081</v>
      </c>
      <c r="AC123" s="27">
        <f t="shared" si="29"/>
        <v>0.0023195360927814436</v>
      </c>
      <c r="AD123" s="27">
        <f t="shared" si="29"/>
        <v>0.0029497437410124995</v>
      </c>
      <c r="AE123" s="27">
        <f t="shared" si="29"/>
        <v>0.0022513226520580842</v>
      </c>
      <c r="AF123" s="27">
        <f t="shared" si="29"/>
        <v>0.0021341818322921113</v>
      </c>
      <c r="AG123" s="27">
        <f t="shared" si="29"/>
        <v>0.0024122884813225017</v>
      </c>
    </row>
    <row r="124" spans="2:33" ht="12.75">
      <c r="B124" s="89" t="s">
        <v>35</v>
      </c>
      <c r="C124" s="90">
        <f t="shared" si="26"/>
        <v>0.2240628507295174</v>
      </c>
      <c r="D124" s="90">
        <f aca="true" t="shared" si="46" ref="D124:AG124">D106/D$108</f>
        <v>0.22414516956663713</v>
      </c>
      <c r="E124" s="90">
        <f t="shared" si="46"/>
        <v>0.22149474434348834</v>
      </c>
      <c r="F124" s="90">
        <f t="shared" si="46"/>
        <v>0.21902338868059276</v>
      </c>
      <c r="G124" s="90">
        <f t="shared" si="46"/>
        <v>0.2181043388429752</v>
      </c>
      <c r="H124" s="90">
        <f t="shared" si="46"/>
        <v>0.21839129325737608</v>
      </c>
      <c r="I124" s="90">
        <f t="shared" si="46"/>
        <v>0.21194343505100477</v>
      </c>
      <c r="J124" s="90">
        <f t="shared" si="46"/>
        <v>0.21026300743281875</v>
      </c>
      <c r="K124" s="90">
        <f t="shared" si="46"/>
        <v>0.21037746965709572</v>
      </c>
      <c r="L124" s="90">
        <f t="shared" si="46"/>
        <v>0.20524035832947807</v>
      </c>
      <c r="M124" s="90">
        <f t="shared" si="46"/>
        <v>0.20238385810755838</v>
      </c>
      <c r="N124" s="90">
        <f t="shared" si="46"/>
        <v>0.20379283392982023</v>
      </c>
      <c r="O124" s="90">
        <f t="shared" si="46"/>
        <v>0.2039113209137655</v>
      </c>
      <c r="P124" s="90">
        <f t="shared" si="46"/>
        <v>0.20392337678668734</v>
      </c>
      <c r="Q124" s="90">
        <f t="shared" si="46"/>
        <v>0.20316556402311364</v>
      </c>
      <c r="R124" s="90">
        <f t="shared" si="46"/>
        <v>0.20678473434771763</v>
      </c>
      <c r="S124" s="90">
        <f t="shared" si="46"/>
        <v>0.201972852892023</v>
      </c>
      <c r="T124" s="90">
        <f t="shared" si="46"/>
        <v>0.2021306197082323</v>
      </c>
      <c r="U124" s="90">
        <f t="shared" si="46"/>
        <v>0.19883901561605755</v>
      </c>
      <c r="V124" s="90">
        <f t="shared" si="46"/>
        <v>0.1944923253714192</v>
      </c>
      <c r="W124" s="90">
        <f t="shared" si="46"/>
        <v>0.1950742317873173</v>
      </c>
      <c r="X124" s="90">
        <f t="shared" si="46"/>
        <v>0.19123918353827682</v>
      </c>
      <c r="Y124" s="90">
        <f t="shared" si="46"/>
        <v>0.1920716599961883</v>
      </c>
      <c r="Z124" s="90">
        <f t="shared" si="46"/>
        <v>0.18819856625298698</v>
      </c>
      <c r="AA124" s="90">
        <f t="shared" si="46"/>
        <v>0.1866560127846584</v>
      </c>
      <c r="AB124" s="90">
        <f t="shared" si="46"/>
        <v>0.18599391718006705</v>
      </c>
      <c r="AC124" s="90">
        <f t="shared" si="46"/>
        <v>0.1833233353329334</v>
      </c>
      <c r="AD124" s="90">
        <f t="shared" si="46"/>
        <v>0.17989749640499983</v>
      </c>
      <c r="AE124" s="90">
        <f t="shared" si="46"/>
        <v>0.17796705564519155</v>
      </c>
      <c r="AF124" s="90">
        <f t="shared" si="46"/>
        <v>0.1730239416398277</v>
      </c>
      <c r="AG124" s="90">
        <f t="shared" si="46"/>
        <v>0.17386214480825854</v>
      </c>
    </row>
    <row r="125" spans="2:33" ht="13.5" thickBot="1">
      <c r="B125" s="24" t="s">
        <v>72</v>
      </c>
      <c r="C125" s="28">
        <f t="shared" si="26"/>
        <v>0</v>
      </c>
      <c r="D125" s="28">
        <f aca="true" t="shared" si="47" ref="D125:AG125">D107/D$108</f>
        <v>0</v>
      </c>
      <c r="E125" s="28">
        <f t="shared" si="47"/>
        <v>0</v>
      </c>
      <c r="F125" s="28">
        <f t="shared" si="47"/>
        <v>0</v>
      </c>
      <c r="G125" s="28">
        <f t="shared" si="47"/>
        <v>0</v>
      </c>
      <c r="H125" s="28">
        <f t="shared" si="47"/>
        <v>0</v>
      </c>
      <c r="I125" s="28">
        <f t="shared" si="47"/>
        <v>0</v>
      </c>
      <c r="J125" s="28">
        <f t="shared" si="47"/>
        <v>0</v>
      </c>
      <c r="K125" s="28">
        <f t="shared" si="47"/>
        <v>0</v>
      </c>
      <c r="L125" s="28">
        <f t="shared" si="47"/>
        <v>0</v>
      </c>
      <c r="M125" s="28">
        <f t="shared" si="47"/>
        <v>0</v>
      </c>
      <c r="N125" s="28">
        <f t="shared" si="47"/>
        <v>0</v>
      </c>
      <c r="O125" s="28">
        <f t="shared" si="47"/>
        <v>0</v>
      </c>
      <c r="P125" s="28">
        <f t="shared" si="47"/>
        <v>0</v>
      </c>
      <c r="Q125" s="28">
        <f t="shared" si="47"/>
        <v>0</v>
      </c>
      <c r="R125" s="28">
        <f t="shared" si="47"/>
        <v>0</v>
      </c>
      <c r="S125" s="28">
        <f t="shared" si="47"/>
        <v>0</v>
      </c>
      <c r="T125" s="28">
        <f t="shared" si="47"/>
        <v>0</v>
      </c>
      <c r="U125" s="28">
        <f t="shared" si="47"/>
        <v>0</v>
      </c>
      <c r="V125" s="28">
        <f t="shared" si="47"/>
        <v>0</v>
      </c>
      <c r="W125" s="28">
        <f t="shared" si="47"/>
        <v>0</v>
      </c>
      <c r="X125" s="28">
        <f t="shared" si="47"/>
        <v>0</v>
      </c>
      <c r="Y125" s="28">
        <f t="shared" si="47"/>
        <v>0</v>
      </c>
      <c r="Z125" s="28">
        <f t="shared" si="47"/>
        <v>0</v>
      </c>
      <c r="AA125" s="28">
        <f t="shared" si="47"/>
        <v>0</v>
      </c>
      <c r="AB125" s="28">
        <f t="shared" si="47"/>
        <v>0</v>
      </c>
      <c r="AC125" s="28">
        <f t="shared" si="47"/>
        <v>0</v>
      </c>
      <c r="AD125" s="28">
        <f t="shared" si="47"/>
        <v>0</v>
      </c>
      <c r="AE125" s="28">
        <f t="shared" si="47"/>
        <v>0</v>
      </c>
      <c r="AF125" s="28">
        <f t="shared" si="47"/>
        <v>0</v>
      </c>
      <c r="AG125" s="28">
        <f t="shared" si="47"/>
        <v>0.0005321224591152577</v>
      </c>
    </row>
    <row r="126" spans="2:33" ht="13.5" thickTop="1">
      <c r="B126" s="26" t="s">
        <v>36</v>
      </c>
      <c r="C126" s="29">
        <f t="shared" si="26"/>
        <v>1</v>
      </c>
      <c r="D126" s="29">
        <f aca="true" t="shared" si="48" ref="D126:R126">D108/D$108</f>
        <v>1</v>
      </c>
      <c r="E126" s="29">
        <f t="shared" si="48"/>
        <v>1</v>
      </c>
      <c r="F126" s="29">
        <f t="shared" si="48"/>
        <v>1</v>
      </c>
      <c r="G126" s="29">
        <f t="shared" si="48"/>
        <v>1</v>
      </c>
      <c r="H126" s="29">
        <f t="shared" si="48"/>
        <v>1</v>
      </c>
      <c r="I126" s="29">
        <f t="shared" si="48"/>
        <v>1</v>
      </c>
      <c r="J126" s="29">
        <f t="shared" si="48"/>
        <v>1</v>
      </c>
      <c r="K126" s="29">
        <f t="shared" si="48"/>
        <v>1</v>
      </c>
      <c r="L126" s="29">
        <f t="shared" si="48"/>
        <v>1</v>
      </c>
      <c r="M126" s="29">
        <f t="shared" si="48"/>
        <v>1</v>
      </c>
      <c r="N126" s="29">
        <f t="shared" si="48"/>
        <v>1</v>
      </c>
      <c r="O126" s="29">
        <f t="shared" si="48"/>
        <v>1</v>
      </c>
      <c r="P126" s="29">
        <f t="shared" si="48"/>
        <v>1</v>
      </c>
      <c r="Q126" s="29">
        <f t="shared" si="48"/>
        <v>1</v>
      </c>
      <c r="R126" s="29">
        <f t="shared" si="48"/>
        <v>1</v>
      </c>
      <c r="S126" s="29">
        <f aca="true" t="shared" si="49" ref="S126:AB126">S108/S$108</f>
        <v>1</v>
      </c>
      <c r="T126" s="29">
        <f t="shared" si="49"/>
        <v>1</v>
      </c>
      <c r="U126" s="29">
        <f t="shared" si="49"/>
        <v>1</v>
      </c>
      <c r="V126" s="29">
        <f t="shared" si="49"/>
        <v>1</v>
      </c>
      <c r="W126" s="29">
        <f t="shared" si="49"/>
        <v>1</v>
      </c>
      <c r="X126" s="29">
        <f t="shared" si="49"/>
        <v>1</v>
      </c>
      <c r="Y126" s="29">
        <f t="shared" si="49"/>
        <v>1</v>
      </c>
      <c r="Z126" s="29">
        <f t="shared" si="49"/>
        <v>1</v>
      </c>
      <c r="AA126" s="29">
        <f t="shared" si="49"/>
        <v>1</v>
      </c>
      <c r="AB126" s="29">
        <f t="shared" si="49"/>
        <v>1</v>
      </c>
      <c r="AC126" s="29">
        <f aca="true" t="shared" si="50" ref="AC126:AG127">AC108/AC$108</f>
        <v>1</v>
      </c>
      <c r="AD126" s="29">
        <f t="shared" si="50"/>
        <v>1</v>
      </c>
      <c r="AE126" s="29">
        <f t="shared" si="50"/>
        <v>1</v>
      </c>
      <c r="AF126" s="29">
        <f t="shared" si="50"/>
        <v>1</v>
      </c>
      <c r="AG126" s="29">
        <f t="shared" si="50"/>
        <v>1</v>
      </c>
    </row>
    <row r="127" spans="2:35" ht="12.75">
      <c r="B127" s="67" t="s">
        <v>37</v>
      </c>
      <c r="C127" s="69">
        <f t="shared" si="26"/>
        <v>0.4501010101010101</v>
      </c>
      <c r="D127" s="69">
        <f aca="true" t="shared" si="51" ref="D127:R127">D109/D$108</f>
        <v>0.44959649204646174</v>
      </c>
      <c r="E127" s="69">
        <f t="shared" si="51"/>
        <v>0.4462854088722608</v>
      </c>
      <c r="F127" s="69">
        <f t="shared" si="51"/>
        <v>0.44273344045706126</v>
      </c>
      <c r="G127" s="69">
        <f t="shared" si="51"/>
        <v>0.4378873966942149</v>
      </c>
      <c r="H127" s="69">
        <f t="shared" si="51"/>
        <v>0.43716520704021766</v>
      </c>
      <c r="I127" s="69">
        <f t="shared" si="51"/>
        <v>0.43452563372882097</v>
      </c>
      <c r="J127" s="69">
        <f t="shared" si="51"/>
        <v>0.43253287592910233</v>
      </c>
      <c r="K127" s="69">
        <f t="shared" si="51"/>
        <v>0.4207156604737028</v>
      </c>
      <c r="L127" s="69">
        <f t="shared" si="51"/>
        <v>0.41880809185347184</v>
      </c>
      <c r="M127" s="69">
        <f t="shared" si="51"/>
        <v>0.41900577658449273</v>
      </c>
      <c r="N127" s="69">
        <f t="shared" si="51"/>
        <v>0.4146200995516064</v>
      </c>
      <c r="O127" s="69">
        <f t="shared" si="51"/>
        <v>0.413175419371154</v>
      </c>
      <c r="P127" s="69">
        <f t="shared" si="51"/>
        <v>0.4112838999035922</v>
      </c>
      <c r="Q127" s="69">
        <f t="shared" si="51"/>
        <v>0.4085503726656059</v>
      </c>
      <c r="R127" s="69">
        <f t="shared" si="51"/>
        <v>0.4033840525484327</v>
      </c>
      <c r="S127" s="69">
        <f aca="true" t="shared" si="52" ref="S127:AB127">S109/S$108</f>
        <v>0.4005625076427669</v>
      </c>
      <c r="T127" s="69">
        <f t="shared" si="52"/>
        <v>0.3943633978614302</v>
      </c>
      <c r="U127" s="69">
        <f t="shared" si="52"/>
        <v>0.3951843675905486</v>
      </c>
      <c r="V127" s="69">
        <f t="shared" si="52"/>
        <v>0.389436099482886</v>
      </c>
      <c r="W127" s="69">
        <f t="shared" si="52"/>
        <v>0.38082633214409023</v>
      </c>
      <c r="X127" s="69">
        <f t="shared" si="52"/>
        <v>0.3766405829503581</v>
      </c>
      <c r="Y127" s="69">
        <f t="shared" si="52"/>
        <v>0.37347055460263007</v>
      </c>
      <c r="Z127" s="69">
        <f t="shared" si="52"/>
        <v>0.36957527171818394</v>
      </c>
      <c r="AA127" s="69">
        <f t="shared" si="52"/>
        <v>0.3652816620055933</v>
      </c>
      <c r="AB127" s="69">
        <f t="shared" si="52"/>
        <v>0.3675037042813694</v>
      </c>
      <c r="AC127" s="69">
        <f t="shared" si="50"/>
        <v>0.3598480303939212</v>
      </c>
      <c r="AD127" s="69">
        <f t="shared" si="50"/>
        <v>0.3568821208657498</v>
      </c>
      <c r="AE127" s="69">
        <f t="shared" si="50"/>
        <v>0.35304491388690856</v>
      </c>
      <c r="AF127" s="69">
        <f t="shared" si="50"/>
        <v>0.35004462380194795</v>
      </c>
      <c r="AG127" s="69">
        <f t="shared" si="50"/>
        <v>0.34690836851254037</v>
      </c>
      <c r="AI127" s="105">
        <f>(AG127-AC127)/AC127</f>
        <v>-0.035958684745935554</v>
      </c>
    </row>
    <row r="128" spans="2:33" s="14" customFormat="1" ht="13.5" thickBot="1">
      <c r="B128" s="64" t="s">
        <v>40</v>
      </c>
      <c r="C128" s="65">
        <f>C110/C108</f>
        <v>0.7726150392817059</v>
      </c>
      <c r="D128" s="65">
        <f aca="true" t="shared" si="53" ref="D128:AB128">D110/D108</f>
        <v>0.7727293931053786</v>
      </c>
      <c r="E128" s="65">
        <f t="shared" si="53"/>
        <v>0.7753429538571174</v>
      </c>
      <c r="F128" s="65">
        <f t="shared" si="53"/>
        <v>0.7776289948223531</v>
      </c>
      <c r="G128" s="65">
        <f t="shared" si="53"/>
        <v>0.7783660468319559</v>
      </c>
      <c r="H128" s="65">
        <f t="shared" si="53"/>
        <v>0.7781651220134342</v>
      </c>
      <c r="I128" s="65">
        <f t="shared" si="53"/>
        <v>0.7829341972768268</v>
      </c>
      <c r="J128" s="65">
        <f t="shared" si="53"/>
        <v>0.7800647989327235</v>
      </c>
      <c r="K128" s="65">
        <f t="shared" si="53"/>
        <v>0.774303782552339</v>
      </c>
      <c r="L128" s="65">
        <f t="shared" si="53"/>
        <v>0.7741935483870968</v>
      </c>
      <c r="M128" s="65">
        <f t="shared" si="53"/>
        <v>0.7731673582295989</v>
      </c>
      <c r="N128" s="65">
        <f t="shared" si="53"/>
        <v>0.7702908387839895</v>
      </c>
      <c r="O128" s="65">
        <f t="shared" si="53"/>
        <v>0.769240495658771</v>
      </c>
      <c r="P128" s="65">
        <f t="shared" si="53"/>
        <v>0.7678249570356709</v>
      </c>
      <c r="Q128" s="65">
        <f t="shared" si="53"/>
        <v>0.7663512268654217</v>
      </c>
      <c r="R128" s="65">
        <f t="shared" si="53"/>
        <v>0.7614949696516172</v>
      </c>
      <c r="S128" s="65">
        <f t="shared" si="53"/>
        <v>0.7651326784331309</v>
      </c>
      <c r="T128" s="65">
        <f t="shared" si="53"/>
        <v>0.7629685574591565</v>
      </c>
      <c r="U128" s="65">
        <f t="shared" si="53"/>
        <v>0.7647780230561687</v>
      </c>
      <c r="V128" s="65">
        <f t="shared" si="53"/>
        <v>0.7666830829844866</v>
      </c>
      <c r="W128" s="65">
        <f t="shared" si="53"/>
        <v>0.7637626117313078</v>
      </c>
      <c r="X128" s="65">
        <f t="shared" si="53"/>
        <v>0.7651637477746036</v>
      </c>
      <c r="Y128" s="65">
        <f t="shared" si="53"/>
        <v>0.7641700019058509</v>
      </c>
      <c r="Z128" s="65">
        <f t="shared" si="53"/>
        <v>0.7650504894781469</v>
      </c>
      <c r="AA128" s="65">
        <f t="shared" si="53"/>
        <v>0.7640831002796644</v>
      </c>
      <c r="AB128" s="65">
        <f t="shared" si="53"/>
        <v>0.7624970755673399</v>
      </c>
      <c r="AC128" s="65">
        <f>AC110/AC108</f>
        <v>0.762247550489902</v>
      </c>
      <c r="AD128" s="65">
        <f>AD110/AD108</f>
        <v>0.7597065004977692</v>
      </c>
      <c r="AE128" s="65">
        <f>AE110/AE108</f>
        <v>0.7587707778319763</v>
      </c>
      <c r="AF128" s="65">
        <f>AF110/AF108</f>
        <v>0.7611656513134919</v>
      </c>
      <c r="AG128" s="65">
        <f>AG110/AG108</f>
        <v>0.7572812089822271</v>
      </c>
    </row>
    <row r="129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1"/>
  <sheetViews>
    <sheetView workbookViewId="0" topLeftCell="A1">
      <selection activeCell="A3" sqref="A3"/>
    </sheetView>
  </sheetViews>
  <sheetFormatPr defaultColWidth="11.421875" defaultRowHeight="12.75"/>
  <cols>
    <col min="2" max="2" width="26.8515625" style="0" bestFit="1" customWidth="1"/>
    <col min="3" max="16" width="11.28125" style="0" bestFit="1" customWidth="1"/>
  </cols>
  <sheetData>
    <row r="1" ht="18">
      <c r="B1" s="21" t="s">
        <v>80</v>
      </c>
    </row>
    <row r="3" spans="1:33" s="70" customFormat="1" ht="39" thickBot="1">
      <c r="A3" s="72" t="s">
        <v>77</v>
      </c>
      <c r="B3" s="80" t="s">
        <v>0</v>
      </c>
      <c r="C3" s="80" t="s">
        <v>101</v>
      </c>
      <c r="D3" s="80" t="s">
        <v>102</v>
      </c>
      <c r="E3" s="80" t="s">
        <v>103</v>
      </c>
      <c r="F3" s="80" t="s">
        <v>104</v>
      </c>
      <c r="G3" s="80" t="s">
        <v>105</v>
      </c>
      <c r="H3" s="80" t="s">
        <v>113</v>
      </c>
      <c r="I3" s="80" t="s">
        <v>107</v>
      </c>
      <c r="J3" s="80" t="s">
        <v>108</v>
      </c>
      <c r="K3" s="80" t="s">
        <v>109</v>
      </c>
      <c r="L3" s="80" t="s">
        <v>110</v>
      </c>
      <c r="M3" s="80" t="s">
        <v>111</v>
      </c>
      <c r="N3" s="80" t="s">
        <v>81</v>
      </c>
      <c r="O3" s="80" t="s">
        <v>82</v>
      </c>
      <c r="P3" s="80" t="s">
        <v>83</v>
      </c>
      <c r="Q3" s="80" t="s">
        <v>84</v>
      </c>
      <c r="R3" s="80" t="s">
        <v>85</v>
      </c>
      <c r="S3" s="80" t="s">
        <v>86</v>
      </c>
      <c r="T3" s="80" t="s">
        <v>87</v>
      </c>
      <c r="U3" s="80" t="s">
        <v>88</v>
      </c>
      <c r="V3" s="80" t="s">
        <v>112</v>
      </c>
      <c r="W3" s="80" t="s">
        <v>90</v>
      </c>
      <c r="X3" s="80" t="s">
        <v>91</v>
      </c>
      <c r="Y3" s="80" t="s">
        <v>92</v>
      </c>
      <c r="Z3" s="80" t="s">
        <v>93</v>
      </c>
      <c r="AA3" s="80" t="s">
        <v>94</v>
      </c>
      <c r="AB3" s="80" t="s">
        <v>95</v>
      </c>
      <c r="AC3" s="80" t="s">
        <v>96</v>
      </c>
      <c r="AD3" s="80" t="s">
        <v>97</v>
      </c>
      <c r="AE3" s="80" t="s">
        <v>98</v>
      </c>
      <c r="AF3" s="80" t="s">
        <v>99</v>
      </c>
      <c r="AG3" s="80" t="s">
        <v>100</v>
      </c>
    </row>
    <row r="4" spans="1:33" ht="26.25" thickTop="1">
      <c r="A4" s="104">
        <v>1</v>
      </c>
      <c r="B4" s="81" t="s">
        <v>43</v>
      </c>
      <c r="C4" s="104">
        <v>0</v>
      </c>
      <c r="D4" s="104">
        <v>0</v>
      </c>
      <c r="E4" s="104">
        <v>0</v>
      </c>
      <c r="F4" s="104">
        <v>0</v>
      </c>
      <c r="G4" s="104">
        <v>0</v>
      </c>
      <c r="H4" s="104">
        <v>0</v>
      </c>
      <c r="I4" s="104">
        <v>0</v>
      </c>
      <c r="J4" s="104">
        <v>0</v>
      </c>
      <c r="K4" s="104">
        <v>0</v>
      </c>
      <c r="L4" s="104">
        <v>0</v>
      </c>
      <c r="M4" s="104">
        <v>0</v>
      </c>
      <c r="N4" s="104">
        <v>0</v>
      </c>
      <c r="O4" s="104">
        <v>0</v>
      </c>
      <c r="P4" s="104">
        <v>0</v>
      </c>
      <c r="Q4" s="104">
        <v>0</v>
      </c>
      <c r="R4" s="104">
        <v>0</v>
      </c>
      <c r="S4" s="104">
        <v>0</v>
      </c>
      <c r="T4" s="104">
        <v>2</v>
      </c>
      <c r="U4" s="104">
        <v>13</v>
      </c>
      <c r="V4" s="104">
        <v>16</v>
      </c>
      <c r="W4" s="104">
        <v>19</v>
      </c>
      <c r="X4" s="104">
        <v>37</v>
      </c>
      <c r="Y4" s="104">
        <v>41</v>
      </c>
      <c r="Z4" s="104">
        <v>48</v>
      </c>
      <c r="AA4" s="104">
        <v>43</v>
      </c>
      <c r="AB4" s="104">
        <v>54</v>
      </c>
      <c r="AC4" s="104">
        <v>52</v>
      </c>
      <c r="AD4" s="104">
        <v>67</v>
      </c>
      <c r="AE4" s="104">
        <v>70</v>
      </c>
      <c r="AF4" s="104">
        <v>55</v>
      </c>
      <c r="AG4" s="104">
        <v>59</v>
      </c>
    </row>
    <row r="5" spans="1:33" ht="25.5">
      <c r="A5" s="104">
        <v>2</v>
      </c>
      <c r="B5" s="81" t="s">
        <v>44</v>
      </c>
      <c r="C5" s="104">
        <v>4168</v>
      </c>
      <c r="D5" s="104">
        <v>3998</v>
      </c>
      <c r="E5" s="104">
        <v>4140</v>
      </c>
      <c r="F5" s="104">
        <v>3999</v>
      </c>
      <c r="G5" s="104">
        <v>4198</v>
      </c>
      <c r="H5" s="104">
        <v>4179</v>
      </c>
      <c r="I5" s="104">
        <v>3968</v>
      </c>
      <c r="J5" s="104">
        <v>3452</v>
      </c>
      <c r="K5" s="104">
        <v>4621</v>
      </c>
      <c r="L5" s="104">
        <v>3905</v>
      </c>
      <c r="M5" s="104">
        <v>4117</v>
      </c>
      <c r="N5" s="104">
        <v>4043</v>
      </c>
      <c r="O5" s="104">
        <v>3909</v>
      </c>
      <c r="P5" s="104">
        <v>4062</v>
      </c>
      <c r="Q5" s="104">
        <v>3924</v>
      </c>
      <c r="R5" s="104">
        <v>3932</v>
      </c>
      <c r="S5" s="104">
        <v>4035</v>
      </c>
      <c r="T5" s="104">
        <v>4074</v>
      </c>
      <c r="U5" s="104">
        <v>3940</v>
      </c>
      <c r="V5" s="104">
        <v>3792</v>
      </c>
      <c r="W5" s="104">
        <v>4179</v>
      </c>
      <c r="X5" s="104">
        <v>3550</v>
      </c>
      <c r="Y5" s="104">
        <v>4135</v>
      </c>
      <c r="Z5" s="104">
        <v>3977</v>
      </c>
      <c r="AA5" s="104">
        <v>3653</v>
      </c>
      <c r="AB5" s="104">
        <v>3920</v>
      </c>
      <c r="AC5" s="104">
        <v>3640</v>
      </c>
      <c r="AD5" s="104">
        <v>3989</v>
      </c>
      <c r="AE5" s="104">
        <v>3736</v>
      </c>
      <c r="AF5" s="104">
        <v>3615</v>
      </c>
      <c r="AG5" s="104">
        <v>4045</v>
      </c>
    </row>
    <row r="6" spans="1:33" ht="25.5">
      <c r="A6" s="104">
        <v>3</v>
      </c>
      <c r="B6" s="81" t="s">
        <v>45</v>
      </c>
      <c r="C6" s="104">
        <v>653</v>
      </c>
      <c r="D6" s="104">
        <v>624</v>
      </c>
      <c r="E6" s="104">
        <v>658</v>
      </c>
      <c r="F6" s="104">
        <v>640</v>
      </c>
      <c r="G6" s="104">
        <v>678</v>
      </c>
      <c r="H6" s="104">
        <v>729</v>
      </c>
      <c r="I6" s="104">
        <v>686</v>
      </c>
      <c r="J6" s="104">
        <v>631</v>
      </c>
      <c r="K6" s="104">
        <v>811</v>
      </c>
      <c r="L6" s="104">
        <v>710</v>
      </c>
      <c r="M6" s="104">
        <v>802</v>
      </c>
      <c r="N6" s="104">
        <v>748</v>
      </c>
      <c r="O6" s="104">
        <v>741</v>
      </c>
      <c r="P6" s="104">
        <v>790</v>
      </c>
      <c r="Q6" s="104">
        <v>765</v>
      </c>
      <c r="R6" s="104">
        <v>746</v>
      </c>
      <c r="S6" s="104">
        <v>797</v>
      </c>
      <c r="T6" s="104">
        <v>792</v>
      </c>
      <c r="U6" s="104">
        <v>733</v>
      </c>
      <c r="V6" s="104">
        <v>736</v>
      </c>
      <c r="W6" s="104">
        <v>817</v>
      </c>
      <c r="X6" s="104">
        <v>688</v>
      </c>
      <c r="Y6" s="104">
        <v>785</v>
      </c>
      <c r="Z6" s="104">
        <v>751</v>
      </c>
      <c r="AA6" s="104">
        <v>690</v>
      </c>
      <c r="AB6" s="104">
        <v>725</v>
      </c>
      <c r="AC6" s="104">
        <v>682</v>
      </c>
      <c r="AD6" s="104">
        <v>741</v>
      </c>
      <c r="AE6" s="104">
        <v>710</v>
      </c>
      <c r="AF6" s="104">
        <v>656</v>
      </c>
      <c r="AG6" s="104">
        <v>765</v>
      </c>
    </row>
    <row r="7" spans="1:33" ht="25.5">
      <c r="A7" s="104">
        <v>4</v>
      </c>
      <c r="B7" s="81" t="s">
        <v>46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5</v>
      </c>
      <c r="AE7" s="104">
        <v>8</v>
      </c>
      <c r="AF7" s="104">
        <v>14</v>
      </c>
      <c r="AG7" s="104">
        <v>24</v>
      </c>
    </row>
    <row r="8" spans="1:33" ht="25.5">
      <c r="A8" s="104">
        <v>5</v>
      </c>
      <c r="B8" s="81" t="s">
        <v>47</v>
      </c>
      <c r="C8" s="104">
        <v>4708</v>
      </c>
      <c r="D8" s="104">
        <v>4501</v>
      </c>
      <c r="E8" s="104">
        <v>4706</v>
      </c>
      <c r="F8" s="104">
        <v>4542</v>
      </c>
      <c r="G8" s="104">
        <v>4828</v>
      </c>
      <c r="H8" s="104">
        <v>4811</v>
      </c>
      <c r="I8" s="104">
        <v>4497</v>
      </c>
      <c r="J8" s="104">
        <v>4071</v>
      </c>
      <c r="K8" s="104">
        <v>5257</v>
      </c>
      <c r="L8" s="104">
        <v>4551</v>
      </c>
      <c r="M8" s="104">
        <v>4831</v>
      </c>
      <c r="N8" s="104">
        <v>4617</v>
      </c>
      <c r="O8" s="104">
        <v>4451</v>
      </c>
      <c r="P8" s="104">
        <v>4560</v>
      </c>
      <c r="Q8" s="104">
        <v>4390</v>
      </c>
      <c r="R8" s="104">
        <v>4315</v>
      </c>
      <c r="S8" s="104">
        <v>4435</v>
      </c>
      <c r="T8" s="104">
        <v>4452</v>
      </c>
      <c r="U8" s="104">
        <v>4212</v>
      </c>
      <c r="V8" s="104">
        <v>4076</v>
      </c>
      <c r="W8" s="104">
        <v>4367</v>
      </c>
      <c r="X8" s="104">
        <v>3888</v>
      </c>
      <c r="Y8" s="104">
        <v>4391</v>
      </c>
      <c r="Z8" s="104">
        <v>4201</v>
      </c>
      <c r="AA8" s="104">
        <v>3913</v>
      </c>
      <c r="AB8" s="104">
        <v>4102</v>
      </c>
      <c r="AC8" s="104">
        <v>3720</v>
      </c>
      <c r="AD8" s="104">
        <v>4121</v>
      </c>
      <c r="AE8" s="104">
        <v>3892</v>
      </c>
      <c r="AF8" s="104">
        <v>3669</v>
      </c>
      <c r="AG8" s="104">
        <v>4202</v>
      </c>
    </row>
    <row r="9" spans="1:33" ht="25.5">
      <c r="A9" s="104">
        <v>6</v>
      </c>
      <c r="B9" s="81" t="s">
        <v>48</v>
      </c>
      <c r="C9" s="104">
        <v>1674</v>
      </c>
      <c r="D9" s="104">
        <v>1606</v>
      </c>
      <c r="E9" s="104">
        <v>1730</v>
      </c>
      <c r="F9" s="104">
        <v>1662</v>
      </c>
      <c r="G9" s="104">
        <v>1740</v>
      </c>
      <c r="H9" s="104">
        <v>1757</v>
      </c>
      <c r="I9" s="104">
        <v>1714</v>
      </c>
      <c r="J9" s="104">
        <v>1522</v>
      </c>
      <c r="K9" s="104">
        <v>2020</v>
      </c>
      <c r="L9" s="104">
        <v>1733</v>
      </c>
      <c r="M9" s="104">
        <v>1812</v>
      </c>
      <c r="N9" s="104">
        <v>1701</v>
      </c>
      <c r="O9" s="104">
        <v>1697</v>
      </c>
      <c r="P9" s="104">
        <v>1679</v>
      </c>
      <c r="Q9" s="104">
        <v>1693</v>
      </c>
      <c r="R9" s="104">
        <v>1688</v>
      </c>
      <c r="S9" s="104">
        <v>1688</v>
      </c>
      <c r="T9" s="104">
        <v>1688</v>
      </c>
      <c r="U9" s="104">
        <v>1604</v>
      </c>
      <c r="V9" s="104">
        <v>1570</v>
      </c>
      <c r="W9" s="104">
        <v>1730</v>
      </c>
      <c r="X9" s="104">
        <v>1531</v>
      </c>
      <c r="Y9" s="104">
        <v>1750</v>
      </c>
      <c r="Z9" s="104">
        <v>1668</v>
      </c>
      <c r="AA9" s="104">
        <v>1464</v>
      </c>
      <c r="AB9" s="104">
        <v>1601</v>
      </c>
      <c r="AC9" s="104">
        <v>1439</v>
      </c>
      <c r="AD9" s="104">
        <v>1601</v>
      </c>
      <c r="AE9" s="104">
        <v>1536</v>
      </c>
      <c r="AF9" s="104">
        <v>1412</v>
      </c>
      <c r="AG9" s="104">
        <v>1579</v>
      </c>
    </row>
    <row r="10" spans="1:33" ht="12.75">
      <c r="A10" s="104">
        <v>7</v>
      </c>
      <c r="B10" s="81" t="s">
        <v>49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42</v>
      </c>
      <c r="AA10" s="104">
        <v>94</v>
      </c>
      <c r="AB10" s="104">
        <v>115</v>
      </c>
      <c r="AC10" s="104">
        <v>140</v>
      </c>
      <c r="AD10" s="104">
        <v>230</v>
      </c>
      <c r="AE10" s="104">
        <v>251</v>
      </c>
      <c r="AF10" s="104">
        <v>284</v>
      </c>
      <c r="AG10" s="104">
        <v>308</v>
      </c>
    </row>
    <row r="11" spans="1:33" ht="25.5">
      <c r="A11" s="104">
        <v>8</v>
      </c>
      <c r="B11" s="81" t="s">
        <v>50</v>
      </c>
      <c r="C11" s="104">
        <v>337</v>
      </c>
      <c r="D11" s="104">
        <v>322</v>
      </c>
      <c r="E11" s="104">
        <v>337</v>
      </c>
      <c r="F11" s="104">
        <v>328</v>
      </c>
      <c r="G11" s="104">
        <v>323</v>
      </c>
      <c r="H11" s="104">
        <v>325</v>
      </c>
      <c r="I11" s="104">
        <v>313</v>
      </c>
      <c r="J11" s="104">
        <v>254</v>
      </c>
      <c r="K11" s="104">
        <v>374</v>
      </c>
      <c r="L11" s="104">
        <v>309</v>
      </c>
      <c r="M11" s="104">
        <v>341</v>
      </c>
      <c r="N11" s="104">
        <v>340</v>
      </c>
      <c r="O11" s="104">
        <v>320</v>
      </c>
      <c r="P11" s="104">
        <v>323</v>
      </c>
      <c r="Q11" s="104">
        <v>328</v>
      </c>
      <c r="R11" s="104">
        <v>333</v>
      </c>
      <c r="S11" s="104">
        <v>346</v>
      </c>
      <c r="T11" s="104">
        <v>351</v>
      </c>
      <c r="U11" s="104">
        <v>335</v>
      </c>
      <c r="V11" s="104">
        <v>325</v>
      </c>
      <c r="W11" s="104">
        <v>374</v>
      </c>
      <c r="X11" s="104">
        <v>317</v>
      </c>
      <c r="Y11" s="104">
        <v>357</v>
      </c>
      <c r="Z11" s="104">
        <v>350</v>
      </c>
      <c r="AA11" s="104">
        <v>310</v>
      </c>
      <c r="AB11" s="104">
        <v>338</v>
      </c>
      <c r="AC11" s="104">
        <v>293</v>
      </c>
      <c r="AD11" s="104">
        <v>341</v>
      </c>
      <c r="AE11" s="104">
        <v>313</v>
      </c>
      <c r="AF11" s="104">
        <v>303</v>
      </c>
      <c r="AG11" s="104">
        <v>341</v>
      </c>
    </row>
    <row r="12" spans="1:33" ht="25.5">
      <c r="A12" s="104">
        <v>9</v>
      </c>
      <c r="B12" s="81" t="s">
        <v>51</v>
      </c>
      <c r="C12" s="104">
        <v>592</v>
      </c>
      <c r="D12" s="104">
        <v>575</v>
      </c>
      <c r="E12" s="104">
        <v>624</v>
      </c>
      <c r="F12" s="104">
        <v>609</v>
      </c>
      <c r="G12" s="104">
        <v>658</v>
      </c>
      <c r="H12" s="104">
        <v>636</v>
      </c>
      <c r="I12" s="104">
        <v>607</v>
      </c>
      <c r="J12" s="104">
        <v>541</v>
      </c>
      <c r="K12" s="104">
        <v>729</v>
      </c>
      <c r="L12" s="104">
        <v>602</v>
      </c>
      <c r="M12" s="104">
        <v>640</v>
      </c>
      <c r="N12" s="104">
        <v>627</v>
      </c>
      <c r="O12" s="104">
        <v>599</v>
      </c>
      <c r="P12" s="104">
        <v>620</v>
      </c>
      <c r="Q12" s="104">
        <v>585</v>
      </c>
      <c r="R12" s="104">
        <v>589</v>
      </c>
      <c r="S12" s="104">
        <v>600</v>
      </c>
      <c r="T12" s="104">
        <v>603</v>
      </c>
      <c r="U12" s="104">
        <v>560</v>
      </c>
      <c r="V12" s="104">
        <v>558</v>
      </c>
      <c r="W12" s="104">
        <v>621</v>
      </c>
      <c r="X12" s="104">
        <v>532</v>
      </c>
      <c r="Y12" s="104">
        <v>591</v>
      </c>
      <c r="Z12" s="104">
        <v>580</v>
      </c>
      <c r="AA12" s="104">
        <v>548</v>
      </c>
      <c r="AB12" s="104">
        <v>568</v>
      </c>
      <c r="AC12" s="104">
        <v>514</v>
      </c>
      <c r="AD12" s="104">
        <v>567</v>
      </c>
      <c r="AE12" s="104">
        <v>549</v>
      </c>
      <c r="AF12" s="104">
        <v>509</v>
      </c>
      <c r="AG12" s="104">
        <v>566</v>
      </c>
    </row>
    <row r="13" spans="1:33" ht="25.5">
      <c r="A13" s="104">
        <v>10</v>
      </c>
      <c r="B13" s="81" t="s">
        <v>52</v>
      </c>
      <c r="C13" s="104">
        <v>646</v>
      </c>
      <c r="D13" s="104">
        <v>613</v>
      </c>
      <c r="E13" s="104">
        <v>658</v>
      </c>
      <c r="F13" s="104">
        <v>662</v>
      </c>
      <c r="G13" s="104">
        <v>706</v>
      </c>
      <c r="H13" s="104">
        <v>721</v>
      </c>
      <c r="I13" s="104">
        <v>708</v>
      </c>
      <c r="J13" s="104">
        <v>639</v>
      </c>
      <c r="K13" s="104">
        <v>901</v>
      </c>
      <c r="L13" s="104">
        <v>743</v>
      </c>
      <c r="M13" s="104">
        <v>782</v>
      </c>
      <c r="N13" s="104">
        <v>774</v>
      </c>
      <c r="O13" s="104">
        <v>736</v>
      </c>
      <c r="P13" s="104">
        <v>754</v>
      </c>
      <c r="Q13" s="104">
        <v>752</v>
      </c>
      <c r="R13" s="104">
        <v>773</v>
      </c>
      <c r="S13" s="104">
        <v>747</v>
      </c>
      <c r="T13" s="104">
        <v>814</v>
      </c>
      <c r="U13" s="104">
        <v>759</v>
      </c>
      <c r="V13" s="104">
        <v>739</v>
      </c>
      <c r="W13" s="104">
        <v>809</v>
      </c>
      <c r="X13" s="104">
        <v>745</v>
      </c>
      <c r="Y13" s="104">
        <v>842</v>
      </c>
      <c r="Z13" s="104">
        <v>791</v>
      </c>
      <c r="AA13" s="104">
        <v>732</v>
      </c>
      <c r="AB13" s="104">
        <v>744</v>
      </c>
      <c r="AC13" s="104">
        <v>734</v>
      </c>
      <c r="AD13" s="104">
        <v>791</v>
      </c>
      <c r="AE13" s="104">
        <v>783</v>
      </c>
      <c r="AF13" s="104">
        <v>720</v>
      </c>
      <c r="AG13" s="104">
        <v>795</v>
      </c>
    </row>
    <row r="14" spans="1:33" ht="12.75">
      <c r="A14" s="104">
        <v>11</v>
      </c>
      <c r="B14" s="81" t="s">
        <v>53</v>
      </c>
      <c r="C14" s="104">
        <v>3514</v>
      </c>
      <c r="D14" s="104">
        <v>3412</v>
      </c>
      <c r="E14" s="104">
        <v>3582</v>
      </c>
      <c r="F14" s="104">
        <v>3564</v>
      </c>
      <c r="G14" s="104">
        <v>3783</v>
      </c>
      <c r="H14" s="104">
        <v>3843</v>
      </c>
      <c r="I14" s="104">
        <v>3780</v>
      </c>
      <c r="J14" s="104">
        <v>3334</v>
      </c>
      <c r="K14" s="104">
        <v>4563</v>
      </c>
      <c r="L14" s="104">
        <v>3956</v>
      </c>
      <c r="M14" s="104">
        <v>4152</v>
      </c>
      <c r="N14" s="104">
        <v>4110</v>
      </c>
      <c r="O14" s="104">
        <v>4047</v>
      </c>
      <c r="P14" s="104">
        <v>4051</v>
      </c>
      <c r="Q14" s="104">
        <v>4074</v>
      </c>
      <c r="R14" s="104">
        <v>4031</v>
      </c>
      <c r="S14" s="104">
        <v>4330</v>
      </c>
      <c r="T14" s="104">
        <v>4449</v>
      </c>
      <c r="U14" s="104">
        <v>4232</v>
      </c>
      <c r="V14" s="104">
        <v>4189</v>
      </c>
      <c r="W14" s="104">
        <v>4587</v>
      </c>
      <c r="X14" s="104">
        <v>4047</v>
      </c>
      <c r="Y14" s="104">
        <v>4698</v>
      </c>
      <c r="Z14" s="104">
        <v>4592</v>
      </c>
      <c r="AA14" s="104">
        <v>4234</v>
      </c>
      <c r="AB14" s="104">
        <v>4562</v>
      </c>
      <c r="AC14" s="104">
        <v>4249</v>
      </c>
      <c r="AD14" s="104">
        <v>4731</v>
      </c>
      <c r="AE14" s="104">
        <v>4509</v>
      </c>
      <c r="AF14" s="104">
        <v>4398</v>
      </c>
      <c r="AG14" s="104">
        <v>4998</v>
      </c>
    </row>
    <row r="15" spans="1:33" ht="12.75">
      <c r="A15" s="104">
        <v>12</v>
      </c>
      <c r="B15" s="81" t="s">
        <v>54</v>
      </c>
      <c r="C15" s="104">
        <v>1244</v>
      </c>
      <c r="D15" s="104">
        <v>1183</v>
      </c>
      <c r="E15" s="104">
        <v>1273</v>
      </c>
      <c r="F15" s="104">
        <v>1235</v>
      </c>
      <c r="G15" s="104">
        <v>1316</v>
      </c>
      <c r="H15" s="104">
        <v>1317</v>
      </c>
      <c r="I15" s="104">
        <v>1243</v>
      </c>
      <c r="J15" s="104">
        <v>1177</v>
      </c>
      <c r="K15" s="104">
        <v>1614</v>
      </c>
      <c r="L15" s="104">
        <v>1428</v>
      </c>
      <c r="M15" s="104">
        <v>1479</v>
      </c>
      <c r="N15" s="104">
        <v>1423</v>
      </c>
      <c r="O15" s="104">
        <v>1352</v>
      </c>
      <c r="P15" s="104">
        <v>1437</v>
      </c>
      <c r="Q15" s="104">
        <v>1360</v>
      </c>
      <c r="R15" s="104">
        <v>1381</v>
      </c>
      <c r="S15" s="104">
        <v>1456</v>
      </c>
      <c r="T15" s="104">
        <v>1522</v>
      </c>
      <c r="U15" s="104">
        <v>1416</v>
      </c>
      <c r="V15" s="104">
        <v>1378</v>
      </c>
      <c r="W15" s="104">
        <v>1560</v>
      </c>
      <c r="X15" s="104">
        <v>1334</v>
      </c>
      <c r="Y15" s="104">
        <v>1588</v>
      </c>
      <c r="Z15" s="104">
        <v>1488</v>
      </c>
      <c r="AA15" s="104">
        <v>1430</v>
      </c>
      <c r="AB15" s="104">
        <v>1505</v>
      </c>
      <c r="AC15" s="104">
        <v>1381</v>
      </c>
      <c r="AD15" s="104">
        <v>1578</v>
      </c>
      <c r="AE15" s="104">
        <v>1537</v>
      </c>
      <c r="AF15" s="104">
        <v>1403</v>
      </c>
      <c r="AG15" s="104">
        <v>1636</v>
      </c>
    </row>
    <row r="16" spans="1:33" ht="12.75">
      <c r="A16" s="104">
        <v>13</v>
      </c>
      <c r="B16" s="81" t="s">
        <v>55</v>
      </c>
      <c r="C16" s="104">
        <v>954</v>
      </c>
      <c r="D16" s="104">
        <v>918</v>
      </c>
      <c r="E16" s="104">
        <v>968</v>
      </c>
      <c r="F16" s="104">
        <v>931</v>
      </c>
      <c r="G16" s="104">
        <v>988</v>
      </c>
      <c r="H16" s="104">
        <v>1000</v>
      </c>
      <c r="I16" s="104">
        <v>961</v>
      </c>
      <c r="J16" s="104">
        <v>813</v>
      </c>
      <c r="K16" s="104">
        <v>1174</v>
      </c>
      <c r="L16" s="104">
        <v>981</v>
      </c>
      <c r="M16" s="104">
        <v>1087</v>
      </c>
      <c r="N16" s="104">
        <v>1029</v>
      </c>
      <c r="O16" s="104">
        <v>989</v>
      </c>
      <c r="P16" s="104">
        <v>1091</v>
      </c>
      <c r="Q16" s="104">
        <v>1012</v>
      </c>
      <c r="R16" s="104">
        <v>990</v>
      </c>
      <c r="S16" s="104">
        <v>1033</v>
      </c>
      <c r="T16" s="104">
        <v>1079</v>
      </c>
      <c r="U16" s="104">
        <v>1047</v>
      </c>
      <c r="V16" s="104">
        <v>1032</v>
      </c>
      <c r="W16" s="104">
        <v>1145</v>
      </c>
      <c r="X16" s="104">
        <v>1030</v>
      </c>
      <c r="Y16" s="104">
        <v>1185</v>
      </c>
      <c r="Z16" s="104">
        <v>1140</v>
      </c>
      <c r="AA16" s="104">
        <v>1117</v>
      </c>
      <c r="AB16" s="104">
        <v>1150</v>
      </c>
      <c r="AC16" s="104">
        <v>1083</v>
      </c>
      <c r="AD16" s="104">
        <v>1198</v>
      </c>
      <c r="AE16" s="104">
        <v>1148</v>
      </c>
      <c r="AF16" s="104">
        <v>1104</v>
      </c>
      <c r="AG16" s="104">
        <v>1269</v>
      </c>
    </row>
    <row r="17" spans="1:33" ht="12.75">
      <c r="A17" s="104">
        <v>14</v>
      </c>
      <c r="B17" s="81" t="s">
        <v>56</v>
      </c>
      <c r="C17" s="104">
        <v>56</v>
      </c>
      <c r="D17" s="104">
        <v>38</v>
      </c>
      <c r="E17" s="104">
        <v>58</v>
      </c>
      <c r="F17" s="104">
        <v>64</v>
      </c>
      <c r="G17" s="104">
        <v>66</v>
      </c>
      <c r="H17" s="104">
        <v>80</v>
      </c>
      <c r="I17" s="104">
        <v>68</v>
      </c>
      <c r="J17" s="104">
        <v>62</v>
      </c>
      <c r="K17" s="104">
        <v>104</v>
      </c>
      <c r="L17" s="104">
        <v>85</v>
      </c>
      <c r="M17" s="104">
        <v>82</v>
      </c>
      <c r="N17" s="104">
        <v>92</v>
      </c>
      <c r="O17" s="104">
        <v>90</v>
      </c>
      <c r="P17" s="104">
        <v>94</v>
      </c>
      <c r="Q17" s="104">
        <v>97</v>
      </c>
      <c r="R17" s="104">
        <v>99</v>
      </c>
      <c r="S17" s="104">
        <v>101</v>
      </c>
      <c r="T17" s="104">
        <v>111</v>
      </c>
      <c r="U17" s="104">
        <v>106</v>
      </c>
      <c r="V17" s="104">
        <v>108</v>
      </c>
      <c r="W17" s="104">
        <v>115</v>
      </c>
      <c r="X17" s="104">
        <v>110</v>
      </c>
      <c r="Y17" s="104">
        <v>136</v>
      </c>
      <c r="Z17" s="104">
        <v>126</v>
      </c>
      <c r="AA17" s="104">
        <v>141</v>
      </c>
      <c r="AB17" s="104">
        <v>139</v>
      </c>
      <c r="AC17" s="104">
        <v>141</v>
      </c>
      <c r="AD17" s="104">
        <v>147</v>
      </c>
      <c r="AE17" s="104">
        <v>163</v>
      </c>
      <c r="AF17" s="104">
        <v>160</v>
      </c>
      <c r="AG17" s="104">
        <v>201</v>
      </c>
    </row>
    <row r="18" spans="1:33" ht="12.75">
      <c r="A18" s="104">
        <v>15</v>
      </c>
      <c r="B18" s="81" t="s">
        <v>57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182</v>
      </c>
      <c r="W18" s="104">
        <v>445</v>
      </c>
      <c r="X18" s="104">
        <v>563</v>
      </c>
      <c r="Y18" s="104">
        <v>788</v>
      </c>
      <c r="Z18" s="104">
        <v>943</v>
      </c>
      <c r="AA18" s="104">
        <v>1023</v>
      </c>
      <c r="AB18" s="104">
        <v>1113</v>
      </c>
      <c r="AC18" s="104">
        <v>1197</v>
      </c>
      <c r="AD18" s="104">
        <v>1498</v>
      </c>
      <c r="AE18" s="104">
        <v>1574</v>
      </c>
      <c r="AF18" s="104">
        <v>1650</v>
      </c>
      <c r="AG18" s="104">
        <v>1954</v>
      </c>
    </row>
    <row r="19" spans="1:33" ht="12.75">
      <c r="A19" s="104">
        <v>16</v>
      </c>
      <c r="B19" s="81" t="s">
        <v>58</v>
      </c>
      <c r="C19" s="104">
        <v>616</v>
      </c>
      <c r="D19" s="104">
        <v>616</v>
      </c>
      <c r="E19" s="104">
        <v>684</v>
      </c>
      <c r="F19" s="104">
        <v>751</v>
      </c>
      <c r="G19" s="104">
        <v>889</v>
      </c>
      <c r="H19" s="104">
        <v>922</v>
      </c>
      <c r="I19" s="104">
        <v>927</v>
      </c>
      <c r="J19" s="104">
        <v>827</v>
      </c>
      <c r="K19" s="104">
        <v>1175</v>
      </c>
      <c r="L19" s="104">
        <v>1047</v>
      </c>
      <c r="M19" s="104">
        <v>1137</v>
      </c>
      <c r="N19" s="104">
        <v>1136</v>
      </c>
      <c r="O19" s="104">
        <v>1123</v>
      </c>
      <c r="P19" s="104">
        <v>1161</v>
      </c>
      <c r="Q19" s="104">
        <v>1147</v>
      </c>
      <c r="R19" s="104">
        <v>1157</v>
      </c>
      <c r="S19" s="104">
        <v>1276</v>
      </c>
      <c r="T19" s="104">
        <v>1347</v>
      </c>
      <c r="U19" s="104">
        <v>1308</v>
      </c>
      <c r="V19" s="104">
        <v>1277</v>
      </c>
      <c r="W19" s="104">
        <v>1410</v>
      </c>
      <c r="X19" s="104">
        <v>1193</v>
      </c>
      <c r="Y19" s="104">
        <v>1329</v>
      </c>
      <c r="Z19" s="104">
        <v>1378</v>
      </c>
      <c r="AA19" s="104">
        <v>1338</v>
      </c>
      <c r="AB19" s="104">
        <v>1386</v>
      </c>
      <c r="AC19" s="104">
        <v>1298</v>
      </c>
      <c r="AD19" s="104">
        <v>1504</v>
      </c>
      <c r="AE19" s="104">
        <v>1387</v>
      </c>
      <c r="AF19" s="104">
        <v>1333</v>
      </c>
      <c r="AG19" s="104">
        <v>1537</v>
      </c>
    </row>
    <row r="20" spans="1:33" ht="12.75">
      <c r="A20" s="104">
        <v>17</v>
      </c>
      <c r="B20" s="81" t="s">
        <v>59</v>
      </c>
      <c r="C20" s="104">
        <v>61</v>
      </c>
      <c r="D20" s="104">
        <v>52</v>
      </c>
      <c r="E20" s="104">
        <v>61</v>
      </c>
      <c r="F20" s="104">
        <v>64</v>
      </c>
      <c r="G20" s="104">
        <v>78</v>
      </c>
      <c r="H20" s="104">
        <v>78</v>
      </c>
      <c r="I20" s="104">
        <v>77</v>
      </c>
      <c r="J20" s="104">
        <v>80</v>
      </c>
      <c r="K20" s="104">
        <v>105</v>
      </c>
      <c r="L20" s="104">
        <v>85</v>
      </c>
      <c r="M20" s="104">
        <v>123</v>
      </c>
      <c r="N20" s="104">
        <v>107</v>
      </c>
      <c r="O20" s="104">
        <v>101</v>
      </c>
      <c r="P20" s="104">
        <v>129</v>
      </c>
      <c r="Q20" s="104">
        <v>117</v>
      </c>
      <c r="R20" s="104">
        <v>113</v>
      </c>
      <c r="S20" s="104">
        <v>105</v>
      </c>
      <c r="T20" s="104">
        <v>130</v>
      </c>
      <c r="U20" s="104">
        <v>124</v>
      </c>
      <c r="V20" s="104">
        <v>131</v>
      </c>
      <c r="W20" s="104">
        <v>148</v>
      </c>
      <c r="X20" s="104">
        <v>141</v>
      </c>
      <c r="Y20" s="104">
        <v>163</v>
      </c>
      <c r="Z20" s="104">
        <v>172</v>
      </c>
      <c r="AA20" s="104">
        <v>156</v>
      </c>
      <c r="AB20" s="104">
        <v>165</v>
      </c>
      <c r="AC20" s="104">
        <v>163</v>
      </c>
      <c r="AD20" s="104">
        <v>177</v>
      </c>
      <c r="AE20" s="104">
        <v>186</v>
      </c>
      <c r="AF20" s="104">
        <v>169</v>
      </c>
      <c r="AG20" s="104">
        <v>211</v>
      </c>
    </row>
    <row r="21" spans="1:33" ht="12.75">
      <c r="A21" s="104">
        <v>18</v>
      </c>
      <c r="B21" s="81" t="s">
        <v>60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43</v>
      </c>
      <c r="J21" s="104">
        <v>143</v>
      </c>
      <c r="K21" s="104">
        <v>358</v>
      </c>
      <c r="L21" s="104">
        <v>458</v>
      </c>
      <c r="M21" s="104">
        <v>582</v>
      </c>
      <c r="N21" s="104">
        <v>623</v>
      </c>
      <c r="O21" s="104">
        <v>625</v>
      </c>
      <c r="P21" s="104">
        <v>694</v>
      </c>
      <c r="Q21" s="104">
        <v>721</v>
      </c>
      <c r="R21" s="104">
        <v>754</v>
      </c>
      <c r="S21" s="104">
        <v>805</v>
      </c>
      <c r="T21" s="104">
        <v>901</v>
      </c>
      <c r="U21" s="104">
        <v>885</v>
      </c>
      <c r="V21" s="104">
        <v>851</v>
      </c>
      <c r="W21" s="104">
        <v>962</v>
      </c>
      <c r="X21" s="104">
        <v>883</v>
      </c>
      <c r="Y21" s="104">
        <v>979</v>
      </c>
      <c r="Z21" s="104">
        <v>948</v>
      </c>
      <c r="AA21" s="104">
        <v>869</v>
      </c>
      <c r="AB21" s="104">
        <v>962</v>
      </c>
      <c r="AC21" s="104">
        <v>898</v>
      </c>
      <c r="AD21" s="104">
        <v>1052</v>
      </c>
      <c r="AE21" s="104">
        <v>1025</v>
      </c>
      <c r="AF21" s="104">
        <v>977</v>
      </c>
      <c r="AG21" s="104">
        <v>1151</v>
      </c>
    </row>
    <row r="22" spans="1:33" ht="12.75">
      <c r="A22" s="104">
        <v>19</v>
      </c>
      <c r="B22" s="81" t="s">
        <v>61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12</v>
      </c>
      <c r="V22" s="104">
        <v>53</v>
      </c>
      <c r="W22" s="104">
        <v>100</v>
      </c>
      <c r="X22" s="104">
        <v>118</v>
      </c>
      <c r="Y22" s="104">
        <v>153</v>
      </c>
      <c r="Z22" s="104">
        <v>190</v>
      </c>
      <c r="AA22" s="104">
        <v>188</v>
      </c>
      <c r="AB22" s="104">
        <v>228</v>
      </c>
      <c r="AC22" s="104">
        <v>227</v>
      </c>
      <c r="AD22" s="104">
        <v>300</v>
      </c>
      <c r="AE22" s="104">
        <v>318</v>
      </c>
      <c r="AF22" s="104">
        <v>327</v>
      </c>
      <c r="AG22" s="104">
        <v>413</v>
      </c>
    </row>
    <row r="23" spans="1:33" ht="12.75">
      <c r="A23" s="104">
        <v>20</v>
      </c>
      <c r="B23" s="81" t="s">
        <v>62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2</v>
      </c>
      <c r="V23" s="104">
        <v>30</v>
      </c>
      <c r="W23" s="104">
        <v>46</v>
      </c>
      <c r="X23" s="104">
        <v>61</v>
      </c>
      <c r="Y23" s="104">
        <v>79</v>
      </c>
      <c r="Z23" s="104">
        <v>101</v>
      </c>
      <c r="AA23" s="104">
        <v>105</v>
      </c>
      <c r="AB23" s="104">
        <v>135</v>
      </c>
      <c r="AC23" s="104">
        <v>131</v>
      </c>
      <c r="AD23" s="104">
        <v>167</v>
      </c>
      <c r="AE23" s="104">
        <v>177</v>
      </c>
      <c r="AF23" s="104">
        <v>180</v>
      </c>
      <c r="AG23" s="104">
        <v>241</v>
      </c>
    </row>
    <row r="24" spans="1:33" ht="12.75">
      <c r="A24" s="104">
        <v>21</v>
      </c>
      <c r="B24" s="81" t="s">
        <v>63</v>
      </c>
      <c r="C24" s="104">
        <v>80</v>
      </c>
      <c r="D24" s="104">
        <v>77</v>
      </c>
      <c r="E24" s="104">
        <v>77</v>
      </c>
      <c r="F24" s="104">
        <v>76</v>
      </c>
      <c r="G24" s="104">
        <v>86</v>
      </c>
      <c r="H24" s="104">
        <v>91</v>
      </c>
      <c r="I24" s="104">
        <v>81</v>
      </c>
      <c r="J24" s="104">
        <v>69</v>
      </c>
      <c r="K24" s="104">
        <v>81</v>
      </c>
      <c r="L24" s="104">
        <v>67</v>
      </c>
      <c r="M24" s="104">
        <v>80</v>
      </c>
      <c r="N24" s="104">
        <v>74</v>
      </c>
      <c r="O24" s="104">
        <v>66</v>
      </c>
      <c r="P24" s="104">
        <v>80</v>
      </c>
      <c r="Q24" s="104">
        <v>77</v>
      </c>
      <c r="R24" s="104">
        <v>84</v>
      </c>
      <c r="S24" s="104">
        <v>75</v>
      </c>
      <c r="T24" s="104">
        <v>85</v>
      </c>
      <c r="U24" s="104">
        <v>68</v>
      </c>
      <c r="V24" s="104">
        <v>75</v>
      </c>
      <c r="W24" s="104">
        <v>70</v>
      </c>
      <c r="X24" s="104">
        <v>59</v>
      </c>
      <c r="Y24" s="104">
        <v>80</v>
      </c>
      <c r="Z24" s="104">
        <v>66</v>
      </c>
      <c r="AA24" s="104">
        <v>69</v>
      </c>
      <c r="AB24" s="104">
        <v>63</v>
      </c>
      <c r="AC24" s="104">
        <v>62</v>
      </c>
      <c r="AD24" s="104">
        <v>92</v>
      </c>
      <c r="AE24" s="104">
        <v>63</v>
      </c>
      <c r="AF24" s="104">
        <v>57</v>
      </c>
      <c r="AG24" s="104">
        <v>80</v>
      </c>
    </row>
    <row r="25" spans="1:33" ht="25.5">
      <c r="A25" s="104">
        <v>22</v>
      </c>
      <c r="B25" s="81" t="s">
        <v>64</v>
      </c>
      <c r="C25" s="104">
        <v>327</v>
      </c>
      <c r="D25" s="104">
        <v>256</v>
      </c>
      <c r="E25" s="104">
        <v>277</v>
      </c>
      <c r="F25" s="104">
        <v>268</v>
      </c>
      <c r="G25" s="104">
        <v>271</v>
      </c>
      <c r="H25" s="104">
        <v>313</v>
      </c>
      <c r="I25" s="104">
        <v>257</v>
      </c>
      <c r="J25" s="104">
        <v>257</v>
      </c>
      <c r="K25" s="104">
        <v>318</v>
      </c>
      <c r="L25" s="104">
        <v>240</v>
      </c>
      <c r="M25" s="104">
        <v>285</v>
      </c>
      <c r="N25" s="104">
        <v>265</v>
      </c>
      <c r="O25" s="104">
        <v>269</v>
      </c>
      <c r="P25" s="104">
        <v>273</v>
      </c>
      <c r="Q25" s="104">
        <v>255</v>
      </c>
      <c r="R25" s="104">
        <v>295</v>
      </c>
      <c r="S25" s="104">
        <v>270</v>
      </c>
      <c r="T25" s="104">
        <v>283</v>
      </c>
      <c r="U25" s="104">
        <v>261</v>
      </c>
      <c r="V25" s="104">
        <v>241</v>
      </c>
      <c r="W25" s="104">
        <v>267</v>
      </c>
      <c r="X25" s="104">
        <v>253</v>
      </c>
      <c r="Y25" s="104">
        <v>281</v>
      </c>
      <c r="Z25" s="104">
        <v>253</v>
      </c>
      <c r="AA25" s="104">
        <v>241</v>
      </c>
      <c r="AB25" s="104">
        <v>242</v>
      </c>
      <c r="AC25" s="104">
        <v>256</v>
      </c>
      <c r="AD25" s="104">
        <v>250</v>
      </c>
      <c r="AE25" s="104">
        <v>252</v>
      </c>
      <c r="AF25" s="104">
        <v>237</v>
      </c>
      <c r="AG25" s="104">
        <v>262</v>
      </c>
    </row>
    <row r="26" spans="1:33" ht="25.5">
      <c r="A26" s="104">
        <v>23</v>
      </c>
      <c r="B26" s="81" t="s">
        <v>65</v>
      </c>
      <c r="C26" s="104">
        <v>114</v>
      </c>
      <c r="D26" s="104">
        <v>122</v>
      </c>
      <c r="E26" s="104">
        <v>125</v>
      </c>
      <c r="F26" s="104">
        <v>115</v>
      </c>
      <c r="G26" s="104">
        <v>127</v>
      </c>
      <c r="H26" s="104">
        <v>122</v>
      </c>
      <c r="I26" s="104">
        <v>126</v>
      </c>
      <c r="J26" s="104">
        <v>97</v>
      </c>
      <c r="K26" s="104">
        <v>148</v>
      </c>
      <c r="L26" s="104">
        <v>128</v>
      </c>
      <c r="M26" s="104">
        <v>136</v>
      </c>
      <c r="N26" s="104">
        <v>137</v>
      </c>
      <c r="O26" s="104">
        <v>121</v>
      </c>
      <c r="P26" s="104">
        <v>144</v>
      </c>
      <c r="Q26" s="104">
        <v>136</v>
      </c>
      <c r="R26" s="104">
        <v>145</v>
      </c>
      <c r="S26" s="104">
        <v>144</v>
      </c>
      <c r="T26" s="104">
        <v>147</v>
      </c>
      <c r="U26" s="104">
        <v>141</v>
      </c>
      <c r="V26" s="104">
        <v>143</v>
      </c>
      <c r="W26" s="104">
        <v>166</v>
      </c>
      <c r="X26" s="104">
        <v>141</v>
      </c>
      <c r="Y26" s="104">
        <v>173</v>
      </c>
      <c r="Z26" s="104">
        <v>172</v>
      </c>
      <c r="AA26" s="104">
        <v>158</v>
      </c>
      <c r="AB26" s="104">
        <v>172</v>
      </c>
      <c r="AC26" s="104">
        <v>148</v>
      </c>
      <c r="AD26" s="104">
        <v>160</v>
      </c>
      <c r="AE26" s="104">
        <v>171</v>
      </c>
      <c r="AF26" s="104">
        <v>149</v>
      </c>
      <c r="AG26" s="104">
        <v>171</v>
      </c>
    </row>
    <row r="27" spans="1:33" ht="25.5">
      <c r="A27" s="104">
        <v>24</v>
      </c>
      <c r="B27" s="81" t="s">
        <v>66</v>
      </c>
      <c r="C27" s="104">
        <v>44</v>
      </c>
      <c r="D27" s="104">
        <v>40</v>
      </c>
      <c r="E27" s="104">
        <v>35</v>
      </c>
      <c r="F27" s="104">
        <v>35</v>
      </c>
      <c r="G27" s="104">
        <v>41</v>
      </c>
      <c r="H27" s="104">
        <v>37</v>
      </c>
      <c r="I27" s="104">
        <v>38</v>
      </c>
      <c r="J27" s="104">
        <v>30</v>
      </c>
      <c r="K27" s="104">
        <v>39</v>
      </c>
      <c r="L27" s="104">
        <v>31</v>
      </c>
      <c r="M27" s="104">
        <v>31</v>
      </c>
      <c r="N27" s="104">
        <v>33</v>
      </c>
      <c r="O27" s="104">
        <v>29</v>
      </c>
      <c r="P27" s="104">
        <v>34</v>
      </c>
      <c r="Q27" s="104">
        <v>32</v>
      </c>
      <c r="R27" s="104">
        <v>35</v>
      </c>
      <c r="S27" s="104">
        <v>32</v>
      </c>
      <c r="T27" s="104">
        <v>33</v>
      </c>
      <c r="U27" s="104">
        <v>31</v>
      </c>
      <c r="V27" s="104">
        <v>26</v>
      </c>
      <c r="W27" s="104">
        <v>31</v>
      </c>
      <c r="X27" s="104">
        <v>28</v>
      </c>
      <c r="Y27" s="104">
        <v>31</v>
      </c>
      <c r="Z27" s="104">
        <v>25</v>
      </c>
      <c r="AA27" s="104">
        <v>22</v>
      </c>
      <c r="AB27" s="104">
        <v>19</v>
      </c>
      <c r="AC27" s="104">
        <v>23</v>
      </c>
      <c r="AD27" s="104">
        <v>28</v>
      </c>
      <c r="AE27" s="104">
        <v>22</v>
      </c>
      <c r="AF27" s="104">
        <v>17</v>
      </c>
      <c r="AG27" s="104">
        <v>20</v>
      </c>
    </row>
    <row r="28" spans="1:33" ht="25.5">
      <c r="A28" s="104">
        <v>25</v>
      </c>
      <c r="B28" s="81" t="s">
        <v>67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47</v>
      </c>
      <c r="X28" s="104">
        <v>241</v>
      </c>
      <c r="Y28" s="104">
        <v>515</v>
      </c>
      <c r="Z28" s="104">
        <v>660</v>
      </c>
      <c r="AA28" s="104">
        <v>823</v>
      </c>
      <c r="AB28" s="104">
        <v>888</v>
      </c>
      <c r="AC28" s="104">
        <v>899</v>
      </c>
      <c r="AD28" s="104">
        <v>1111</v>
      </c>
      <c r="AE28" s="104">
        <v>1111</v>
      </c>
      <c r="AF28" s="104">
        <v>1098</v>
      </c>
      <c r="AG28" s="104">
        <v>1287</v>
      </c>
    </row>
    <row r="29" spans="1:33" ht="25.5">
      <c r="A29" s="104">
        <v>26</v>
      </c>
      <c r="B29" s="81" t="s">
        <v>68</v>
      </c>
      <c r="C29" s="104">
        <v>2335</v>
      </c>
      <c r="D29" s="104">
        <v>2271</v>
      </c>
      <c r="E29" s="104">
        <v>2322</v>
      </c>
      <c r="F29" s="104">
        <v>2254</v>
      </c>
      <c r="G29" s="104">
        <v>2435</v>
      </c>
      <c r="H29" s="104">
        <v>2504</v>
      </c>
      <c r="I29" s="104">
        <v>2302</v>
      </c>
      <c r="J29" s="104">
        <v>2072</v>
      </c>
      <c r="K29" s="104">
        <v>2729</v>
      </c>
      <c r="L29" s="104">
        <v>2343</v>
      </c>
      <c r="M29" s="104">
        <v>2389</v>
      </c>
      <c r="N29" s="104">
        <v>2412</v>
      </c>
      <c r="O29" s="104">
        <v>2398</v>
      </c>
      <c r="P29" s="104">
        <v>2436</v>
      </c>
      <c r="Q29" s="104">
        <v>2347</v>
      </c>
      <c r="R29" s="104">
        <v>2378</v>
      </c>
      <c r="S29" s="104">
        <v>2446</v>
      </c>
      <c r="T29" s="104">
        <v>2450</v>
      </c>
      <c r="U29" s="104">
        <v>2278</v>
      </c>
      <c r="V29" s="104">
        <v>2248</v>
      </c>
      <c r="W29" s="104">
        <v>2437</v>
      </c>
      <c r="X29" s="104">
        <v>1982</v>
      </c>
      <c r="Y29" s="104">
        <v>2062</v>
      </c>
      <c r="Z29" s="104">
        <v>1818</v>
      </c>
      <c r="AA29" s="104">
        <v>1620</v>
      </c>
      <c r="AB29" s="104">
        <v>1656</v>
      </c>
      <c r="AC29" s="104">
        <v>1445</v>
      </c>
      <c r="AD29" s="104">
        <v>1582</v>
      </c>
      <c r="AE29" s="104">
        <v>1442</v>
      </c>
      <c r="AF29" s="104">
        <v>1301</v>
      </c>
      <c r="AG29" s="104">
        <v>1498</v>
      </c>
    </row>
    <row r="30" spans="1:33" ht="25.5">
      <c r="A30" s="104">
        <v>27</v>
      </c>
      <c r="B30" s="81" t="s">
        <v>69</v>
      </c>
      <c r="C30" s="104">
        <v>2145</v>
      </c>
      <c r="D30" s="104">
        <v>2052</v>
      </c>
      <c r="E30" s="104">
        <v>2136</v>
      </c>
      <c r="F30" s="104">
        <v>2042</v>
      </c>
      <c r="G30" s="104">
        <v>2096</v>
      </c>
      <c r="H30" s="104">
        <v>2081</v>
      </c>
      <c r="I30" s="104">
        <v>1971</v>
      </c>
      <c r="J30" s="104">
        <v>1738</v>
      </c>
      <c r="K30" s="104">
        <v>2331</v>
      </c>
      <c r="L30" s="104">
        <v>1986</v>
      </c>
      <c r="M30" s="104">
        <v>2114</v>
      </c>
      <c r="N30" s="104">
        <v>2065</v>
      </c>
      <c r="O30" s="104">
        <v>1985</v>
      </c>
      <c r="P30" s="104">
        <v>2021</v>
      </c>
      <c r="Q30" s="104">
        <v>2025</v>
      </c>
      <c r="R30" s="104">
        <v>2035</v>
      </c>
      <c r="S30" s="104">
        <v>2055</v>
      </c>
      <c r="T30" s="104">
        <v>2159</v>
      </c>
      <c r="U30" s="104">
        <v>2039</v>
      </c>
      <c r="V30" s="104">
        <v>1925</v>
      </c>
      <c r="W30" s="104">
        <v>2142</v>
      </c>
      <c r="X30" s="104">
        <v>1808</v>
      </c>
      <c r="Y30" s="104">
        <v>2053</v>
      </c>
      <c r="Z30" s="104">
        <v>1930</v>
      </c>
      <c r="AA30" s="104">
        <v>1728</v>
      </c>
      <c r="AB30" s="104">
        <v>1856</v>
      </c>
      <c r="AC30" s="104">
        <v>1681</v>
      </c>
      <c r="AD30" s="104">
        <v>1843</v>
      </c>
      <c r="AE30" s="104">
        <v>1703</v>
      </c>
      <c r="AF30" s="104">
        <v>1571</v>
      </c>
      <c r="AG30" s="104">
        <v>1734</v>
      </c>
    </row>
    <row r="31" spans="1:33" ht="25.5">
      <c r="A31" s="104">
        <v>28</v>
      </c>
      <c r="B31" s="81" t="s">
        <v>70</v>
      </c>
      <c r="C31" s="104">
        <v>543</v>
      </c>
      <c r="D31" s="104">
        <v>529</v>
      </c>
      <c r="E31" s="104">
        <v>538</v>
      </c>
      <c r="F31" s="104">
        <v>538</v>
      </c>
      <c r="G31" s="104">
        <v>547</v>
      </c>
      <c r="H31" s="104">
        <v>545</v>
      </c>
      <c r="I31" s="104">
        <v>491</v>
      </c>
      <c r="J31" s="104">
        <v>456</v>
      </c>
      <c r="K31" s="104">
        <v>586</v>
      </c>
      <c r="L31" s="104">
        <v>515</v>
      </c>
      <c r="M31" s="104">
        <v>526</v>
      </c>
      <c r="N31" s="104">
        <v>502</v>
      </c>
      <c r="O31" s="104">
        <v>481</v>
      </c>
      <c r="P31" s="104">
        <v>496</v>
      </c>
      <c r="Q31" s="104">
        <v>497</v>
      </c>
      <c r="R31" s="104">
        <v>520</v>
      </c>
      <c r="S31" s="104">
        <v>475</v>
      </c>
      <c r="T31" s="104">
        <v>522</v>
      </c>
      <c r="U31" s="104">
        <v>474</v>
      </c>
      <c r="V31" s="104">
        <v>469</v>
      </c>
      <c r="W31" s="104">
        <v>511</v>
      </c>
      <c r="X31" s="104">
        <v>418</v>
      </c>
      <c r="Y31" s="104">
        <v>487</v>
      </c>
      <c r="Z31" s="104">
        <v>440</v>
      </c>
      <c r="AA31" s="104">
        <v>451</v>
      </c>
      <c r="AB31" s="104">
        <v>467</v>
      </c>
      <c r="AC31" s="104">
        <v>417</v>
      </c>
      <c r="AD31" s="104">
        <v>460</v>
      </c>
      <c r="AE31" s="104">
        <v>435</v>
      </c>
      <c r="AF31" s="104">
        <v>379</v>
      </c>
      <c r="AG31" s="104">
        <v>464</v>
      </c>
    </row>
    <row r="32" spans="1:33" ht="12.75">
      <c r="A32" s="104">
        <v>29</v>
      </c>
      <c r="B32" s="81" t="s">
        <v>71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15</v>
      </c>
    </row>
    <row r="34" spans="1:33" s="70" customFormat="1" ht="13.5" thickBot="1">
      <c r="A34" s="93" t="s">
        <v>75</v>
      </c>
      <c r="B34" s="93" t="s">
        <v>74</v>
      </c>
      <c r="C34" s="103">
        <v>38169</v>
      </c>
      <c r="D34" s="103">
        <v>38200</v>
      </c>
      <c r="E34" s="103">
        <v>38231</v>
      </c>
      <c r="F34" s="103">
        <v>38261</v>
      </c>
      <c r="G34" s="103">
        <v>38292</v>
      </c>
      <c r="H34" s="103">
        <v>38322</v>
      </c>
      <c r="I34" s="103">
        <v>38353</v>
      </c>
      <c r="J34" s="103">
        <v>38384</v>
      </c>
      <c r="K34" s="103">
        <v>38412</v>
      </c>
      <c r="L34" s="103">
        <v>38443</v>
      </c>
      <c r="M34" s="103">
        <v>38473</v>
      </c>
      <c r="N34" s="103">
        <v>38504</v>
      </c>
      <c r="O34" s="103">
        <v>38534</v>
      </c>
      <c r="P34" s="103">
        <v>38565</v>
      </c>
      <c r="Q34" s="103">
        <v>38596</v>
      </c>
      <c r="R34" s="103">
        <v>38626</v>
      </c>
      <c r="S34" s="103">
        <v>38657</v>
      </c>
      <c r="T34" s="103">
        <v>38687</v>
      </c>
      <c r="U34" s="103">
        <v>38718</v>
      </c>
      <c r="V34" s="103">
        <v>38749</v>
      </c>
      <c r="W34" s="103">
        <v>38777</v>
      </c>
      <c r="X34" s="103">
        <v>38808</v>
      </c>
      <c r="Y34" s="103">
        <v>38838</v>
      </c>
      <c r="Z34" s="103">
        <v>38869</v>
      </c>
      <c r="AA34" s="103">
        <v>38899</v>
      </c>
      <c r="AB34" s="103">
        <v>38930</v>
      </c>
      <c r="AC34" s="103">
        <v>38961</v>
      </c>
      <c r="AD34" s="103">
        <v>38991</v>
      </c>
      <c r="AE34" s="103">
        <v>39022</v>
      </c>
      <c r="AF34" s="103">
        <v>39052</v>
      </c>
      <c r="AG34" s="103">
        <v>39083</v>
      </c>
    </row>
    <row r="35" spans="1:33" ht="26.25" thickTop="1">
      <c r="A35">
        <v>1</v>
      </c>
      <c r="B35" s="91" t="s">
        <v>43</v>
      </c>
      <c r="C35" s="102">
        <f>VLOOKUP(1,$A$4:$AX$32,3,FALSE)</f>
        <v>0</v>
      </c>
      <c r="D35" s="102">
        <f>VLOOKUP(1,$A$4:$AX$32,4,FALSE)</f>
        <v>0</v>
      </c>
      <c r="E35" s="102">
        <f>VLOOKUP(1,$A$4:$AX$32,5,FALSE)</f>
        <v>0</v>
      </c>
      <c r="F35" s="102">
        <f>VLOOKUP(1,$A$4:$AX$32,6,FALSE)</f>
        <v>0</v>
      </c>
      <c r="G35" s="102">
        <f>VLOOKUP(1,$A$4:$AX$32,7,FALSE)</f>
        <v>0</v>
      </c>
      <c r="H35" s="102">
        <f>VLOOKUP(1,$A$4:$AX$32,8,FALSE)</f>
        <v>0</v>
      </c>
      <c r="I35" s="102">
        <f>VLOOKUP(1,$A$4:$AX$32,9,FALSE)</f>
        <v>0</v>
      </c>
      <c r="J35" s="102">
        <f>VLOOKUP(1,$A$4:$AX$32,10,FALSE)</f>
        <v>0</v>
      </c>
      <c r="K35" s="102">
        <f>VLOOKUP(1,$A$4:$AX$32,11,FALSE)</f>
        <v>0</v>
      </c>
      <c r="L35" s="102">
        <f>VLOOKUP(1,$A$4:$AX$32,12,FALSE)</f>
        <v>0</v>
      </c>
      <c r="M35" s="102">
        <f>VLOOKUP(1,$A$4:$AX$32,13,FALSE)</f>
        <v>0</v>
      </c>
      <c r="N35" s="102">
        <f>VLOOKUP(1,$A$4:$AX$32,14,FALSE)</f>
        <v>0</v>
      </c>
      <c r="O35" s="102">
        <f>VLOOKUP(1,$A$4:$AX$32,15,FALSE)</f>
        <v>0</v>
      </c>
      <c r="P35" s="102">
        <f>VLOOKUP(1,$A$4:$AX$32,16,FALSE)</f>
        <v>0</v>
      </c>
      <c r="Q35" s="102">
        <f>VLOOKUP(1,$A$4:$AX$32,17,FALSE)</f>
        <v>0</v>
      </c>
      <c r="R35" s="102">
        <f>VLOOKUP(1,$A$4:$AX$32,18,FALSE)</f>
        <v>0</v>
      </c>
      <c r="S35" s="102">
        <f>VLOOKUP(1,$A$4:$AX$32,19,FALSE)</f>
        <v>0</v>
      </c>
      <c r="T35" s="102">
        <f>VLOOKUP(1,$A$4:$AX$32,20,FALSE)</f>
        <v>2</v>
      </c>
      <c r="U35" s="102">
        <f>VLOOKUP(1,$A$4:$AX$32,21,FALSE)</f>
        <v>13</v>
      </c>
      <c r="V35" s="102">
        <f>VLOOKUP(1,$A$4:$AX$32,22,FALSE)</f>
        <v>16</v>
      </c>
      <c r="W35" s="102">
        <f>VLOOKUP(1,$A$4:$AX$32,23,FALSE)</f>
        <v>19</v>
      </c>
      <c r="X35" s="102">
        <f>VLOOKUP(1,$A$4:$AX$32,24,FALSE)</f>
        <v>37</v>
      </c>
      <c r="Y35" s="102">
        <f>VLOOKUP(1,$A$4:$AX$32,25,FALSE)</f>
        <v>41</v>
      </c>
      <c r="Z35" s="102">
        <f>VLOOKUP(1,$A$4:$AX$32,26,FALSE)</f>
        <v>48</v>
      </c>
      <c r="AA35" s="102">
        <f>VLOOKUP(1,$A$4:$AX$32,27,FALSE)</f>
        <v>43</v>
      </c>
      <c r="AB35" s="102">
        <f>VLOOKUP(1,$A$4:$AX$32,28,FALSE)</f>
        <v>54</v>
      </c>
      <c r="AC35" s="102">
        <f>VLOOKUP(1,$A$4:$AX$32,29,FALSE)</f>
        <v>52</v>
      </c>
      <c r="AD35" s="102">
        <f>VLOOKUP(1,$A$4:$AX$32,30,FALSE)</f>
        <v>67</v>
      </c>
      <c r="AE35" s="102">
        <f>VLOOKUP(1,$A$4:$AX$32,31,FALSE)</f>
        <v>70</v>
      </c>
      <c r="AF35" s="102">
        <f>VLOOKUP(1,$A$4:$AX$32,32,FALSE)</f>
        <v>55</v>
      </c>
      <c r="AG35" s="102">
        <f>VLOOKUP(1,$A$4:$AX$32,33,FALSE)</f>
        <v>59</v>
      </c>
    </row>
    <row r="36" spans="1:33" ht="25.5">
      <c r="A36">
        <v>2</v>
      </c>
      <c r="B36" s="77" t="s">
        <v>44</v>
      </c>
      <c r="C36" s="102">
        <f>VLOOKUP(2,$A$4:$AX$32,3,FALSE)</f>
        <v>4168</v>
      </c>
      <c r="D36" s="102">
        <f>VLOOKUP(2,$A$4:$AX$32,4,FALSE)</f>
        <v>3998</v>
      </c>
      <c r="E36" s="102">
        <f>VLOOKUP(2,$A$4:$AX$32,5,FALSE)</f>
        <v>4140</v>
      </c>
      <c r="F36" s="102">
        <f>VLOOKUP(2,$A$4:$AX$32,6,FALSE)</f>
        <v>3999</v>
      </c>
      <c r="G36" s="102">
        <f>VLOOKUP(2,$A$4:$AX$32,7,FALSE)</f>
        <v>4198</v>
      </c>
      <c r="H36" s="102">
        <f>VLOOKUP(2,$A$4:$AX$32,8,FALSE)</f>
        <v>4179</v>
      </c>
      <c r="I36" s="102">
        <f>VLOOKUP(2,$A$4:$AX$32,9,FALSE)</f>
        <v>3968</v>
      </c>
      <c r="J36" s="102">
        <f>VLOOKUP(2,$A$4:$AX$32,10,FALSE)</f>
        <v>3452</v>
      </c>
      <c r="K36" s="102">
        <f>VLOOKUP(2,$A$4:$AX$32,11,FALSE)</f>
        <v>4621</v>
      </c>
      <c r="L36" s="102">
        <f>VLOOKUP(2,$A$4:$AX$32,12,FALSE)</f>
        <v>3905</v>
      </c>
      <c r="M36" s="102">
        <f>VLOOKUP(2,$A$4:$AX$32,13,FALSE)</f>
        <v>4117</v>
      </c>
      <c r="N36" s="102">
        <f>VLOOKUP(2,$A$4:$AX$32,14,FALSE)</f>
        <v>4043</v>
      </c>
      <c r="O36" s="102">
        <f>VLOOKUP(2,$A$4:$AX$32,15,FALSE)</f>
        <v>3909</v>
      </c>
      <c r="P36" s="102">
        <f>VLOOKUP(2,$A$4:$AX$32,16,FALSE)</f>
        <v>4062</v>
      </c>
      <c r="Q36" s="102">
        <f>VLOOKUP(2,$A$4:$AX$32,17,FALSE)</f>
        <v>3924</v>
      </c>
      <c r="R36" s="102">
        <f>VLOOKUP(2,$A$4:$AX$32,18,FALSE)</f>
        <v>3932</v>
      </c>
      <c r="S36" s="102">
        <f>VLOOKUP(2,$A$4:$AX$32,19,FALSE)</f>
        <v>4035</v>
      </c>
      <c r="T36" s="102">
        <f>VLOOKUP(2,$A$4:$AX$32,20,FALSE)</f>
        <v>4074</v>
      </c>
      <c r="U36" s="102">
        <f>VLOOKUP(2,$A$4:$AX$32,21,FALSE)</f>
        <v>3940</v>
      </c>
      <c r="V36" s="102">
        <f>VLOOKUP(2,$A$4:$AX$32,22,FALSE)</f>
        <v>3792</v>
      </c>
      <c r="W36" s="102">
        <f>VLOOKUP(2,$A$4:$AX$32,23,FALSE)</f>
        <v>4179</v>
      </c>
      <c r="X36" s="102">
        <f>VLOOKUP(2,$A$4:$AX$32,24,FALSE)</f>
        <v>3550</v>
      </c>
      <c r="Y36" s="102">
        <f>VLOOKUP(2,$A$4:$AX$32,25,FALSE)</f>
        <v>4135</v>
      </c>
      <c r="Z36" s="102">
        <f>VLOOKUP(2,$A$4:$AX$32,26,FALSE)</f>
        <v>3977</v>
      </c>
      <c r="AA36" s="102">
        <f>VLOOKUP(2,$A$4:$AX$32,27,FALSE)</f>
        <v>3653</v>
      </c>
      <c r="AB36" s="102">
        <f>VLOOKUP(2,$A$4:$AX$32,28,FALSE)</f>
        <v>3920</v>
      </c>
      <c r="AC36" s="102">
        <f>VLOOKUP(2,$A$4:$AX$32,29,FALSE)</f>
        <v>3640</v>
      </c>
      <c r="AD36" s="102">
        <f>VLOOKUP(2,$A$4:$AX$32,30,FALSE)</f>
        <v>3989</v>
      </c>
      <c r="AE36" s="102">
        <f>VLOOKUP(2,$A$4:$AX$32,31,FALSE)</f>
        <v>3736</v>
      </c>
      <c r="AF36" s="102">
        <f>VLOOKUP(2,$A$4:$AX$32,32,FALSE)</f>
        <v>3615</v>
      </c>
      <c r="AG36" s="102">
        <f>VLOOKUP(2,$A$4:$AX$32,33,FALSE)</f>
        <v>4045</v>
      </c>
    </row>
    <row r="37" spans="1:33" ht="25.5">
      <c r="A37">
        <v>3</v>
      </c>
      <c r="B37" s="77" t="s">
        <v>45</v>
      </c>
      <c r="C37" s="102">
        <f>VLOOKUP(3,$A$4:$AX$32,3,FALSE)</f>
        <v>653</v>
      </c>
      <c r="D37" s="102">
        <f>VLOOKUP(3,$A$4:$AX$32,4,FALSE)</f>
        <v>624</v>
      </c>
      <c r="E37" s="102">
        <f>VLOOKUP(3,$A$4:$AX$32,5,FALSE)</f>
        <v>658</v>
      </c>
      <c r="F37" s="102">
        <f>VLOOKUP(3,$A$4:$AX$32,6,FALSE)</f>
        <v>640</v>
      </c>
      <c r="G37" s="102">
        <f>VLOOKUP(3,$A$4:$AX$32,7,FALSE)</f>
        <v>678</v>
      </c>
      <c r="H37" s="102">
        <f>VLOOKUP(3,$A$4:$AX$32,8,FALSE)</f>
        <v>729</v>
      </c>
      <c r="I37" s="102">
        <f>VLOOKUP(3,$A$4:$AX$32,9,FALSE)</f>
        <v>686</v>
      </c>
      <c r="J37" s="102">
        <f>VLOOKUP(3,$A$4:$AX$32,10,FALSE)</f>
        <v>631</v>
      </c>
      <c r="K37" s="102">
        <f>VLOOKUP(3,$A$4:$AX$32,11,FALSE)</f>
        <v>811</v>
      </c>
      <c r="L37" s="102">
        <f>VLOOKUP(3,$A$4:$AX$32,12,FALSE)</f>
        <v>710</v>
      </c>
      <c r="M37" s="102">
        <f>VLOOKUP(3,$A$4:$AX$32,13,FALSE)</f>
        <v>802</v>
      </c>
      <c r="N37" s="102">
        <f>VLOOKUP(3,$A$4:$AX$32,14,FALSE)</f>
        <v>748</v>
      </c>
      <c r="O37" s="102">
        <f>VLOOKUP(3,$A$4:$AX$32,15,FALSE)</f>
        <v>741</v>
      </c>
      <c r="P37" s="102">
        <f>VLOOKUP(3,$A$4:$AX$32,16,FALSE)</f>
        <v>790</v>
      </c>
      <c r="Q37" s="102">
        <f>VLOOKUP(3,$A$4:$AX$32,17,FALSE)</f>
        <v>765</v>
      </c>
      <c r="R37" s="102">
        <f>VLOOKUP(3,$A$4:$AX$32,18,FALSE)</f>
        <v>746</v>
      </c>
      <c r="S37" s="102">
        <f>VLOOKUP(3,$A$4:$AX$32,19,FALSE)</f>
        <v>797</v>
      </c>
      <c r="T37" s="102">
        <f>VLOOKUP(3,$A$4:$AX$32,20,FALSE)</f>
        <v>792</v>
      </c>
      <c r="U37" s="102">
        <f>VLOOKUP(3,$A$4:$AX$32,21,FALSE)</f>
        <v>733</v>
      </c>
      <c r="V37" s="102">
        <f>VLOOKUP(3,$A$4:$AX$32,22,FALSE)</f>
        <v>736</v>
      </c>
      <c r="W37" s="102">
        <f>VLOOKUP(3,$A$4:$AX$32,23,FALSE)</f>
        <v>817</v>
      </c>
      <c r="X37" s="102">
        <f>VLOOKUP(3,$A$4:$AX$32,24,FALSE)</f>
        <v>688</v>
      </c>
      <c r="Y37" s="102">
        <f>VLOOKUP(3,$A$4:$AX$32,25,FALSE)</f>
        <v>785</v>
      </c>
      <c r="Z37" s="102">
        <f>VLOOKUP(3,$A$4:$AX$32,26,FALSE)</f>
        <v>751</v>
      </c>
      <c r="AA37" s="102">
        <f>VLOOKUP(3,$A$4:$AX$32,27,FALSE)</f>
        <v>690</v>
      </c>
      <c r="AB37" s="102">
        <f>VLOOKUP(3,$A$4:$AX$32,28,FALSE)</f>
        <v>725</v>
      </c>
      <c r="AC37" s="102">
        <f>VLOOKUP(3,$A$4:$AX$32,29,FALSE)</f>
        <v>682</v>
      </c>
      <c r="AD37" s="102">
        <f>VLOOKUP(3,$A$4:$AX$32,30,FALSE)</f>
        <v>741</v>
      </c>
      <c r="AE37" s="102">
        <f>VLOOKUP(3,$A$4:$AX$32,31,FALSE)</f>
        <v>710</v>
      </c>
      <c r="AF37" s="102">
        <f>VLOOKUP(3,$A$4:$AX$32,32,FALSE)</f>
        <v>656</v>
      </c>
      <c r="AG37" s="102">
        <f>VLOOKUP(3,$A$4:$AX$32,33,FALSE)</f>
        <v>765</v>
      </c>
    </row>
    <row r="38" spans="1:33" ht="25.5">
      <c r="A38">
        <v>4</v>
      </c>
      <c r="B38" s="77" t="s">
        <v>46</v>
      </c>
      <c r="C38" s="102">
        <f>VLOOKUP(4,$A$4:$AX$32,3,FALSE)</f>
        <v>0</v>
      </c>
      <c r="D38" s="102">
        <f>VLOOKUP(4,$A$4:$AX$32,4,FALSE)</f>
        <v>0</v>
      </c>
      <c r="E38" s="102">
        <f>VLOOKUP(4,$A$4:$AX$32,5,FALSE)</f>
        <v>0</v>
      </c>
      <c r="F38" s="102">
        <f>VLOOKUP(4,$A$4:$AX$32,6,FALSE)</f>
        <v>0</v>
      </c>
      <c r="G38" s="102">
        <f>VLOOKUP(4,$A$4:$AX$32,7,FALSE)</f>
        <v>0</v>
      </c>
      <c r="H38" s="102">
        <f>VLOOKUP(4,$A$4:$AX$32,8,FALSE)</f>
        <v>0</v>
      </c>
      <c r="I38" s="102">
        <f>VLOOKUP(4,$A$4:$AX$32,9,FALSE)</f>
        <v>0</v>
      </c>
      <c r="J38" s="102">
        <f>VLOOKUP(4,$A$4:$AX$32,10,FALSE)</f>
        <v>0</v>
      </c>
      <c r="K38" s="102">
        <f>VLOOKUP(4,$A$4:$AX$32,11,FALSE)</f>
        <v>0</v>
      </c>
      <c r="L38" s="102">
        <f>VLOOKUP(4,$A$4:$AX$32,12,FALSE)</f>
        <v>0</v>
      </c>
      <c r="M38" s="102">
        <f>VLOOKUP(4,$A$4:$AX$32,13,FALSE)</f>
        <v>0</v>
      </c>
      <c r="N38" s="102">
        <f>VLOOKUP(4,$A$4:$AX$32,14,FALSE)</f>
        <v>0</v>
      </c>
      <c r="O38" s="102">
        <f>VLOOKUP(4,$A$4:$AX$32,15,FALSE)</f>
        <v>0</v>
      </c>
      <c r="P38" s="102">
        <f>VLOOKUP(4,$A$4:$AX$32,16,FALSE)</f>
        <v>0</v>
      </c>
      <c r="Q38" s="102">
        <f>VLOOKUP(4,$A$4:$AX$32,17,FALSE)</f>
        <v>0</v>
      </c>
      <c r="R38" s="102">
        <f>VLOOKUP(4,$A$4:$AX$32,18,FALSE)</f>
        <v>0</v>
      </c>
      <c r="S38" s="102">
        <f>VLOOKUP(4,$A$4:$AX$32,19,FALSE)</f>
        <v>0</v>
      </c>
      <c r="T38" s="102">
        <f>VLOOKUP(4,$A$4:$AX$32,20,FALSE)</f>
        <v>0</v>
      </c>
      <c r="U38" s="102">
        <f>VLOOKUP(4,$A$4:$AX$32,21,FALSE)</f>
        <v>0</v>
      </c>
      <c r="V38" s="102">
        <f>VLOOKUP(4,$A$4:$AX$32,22,FALSE)</f>
        <v>0</v>
      </c>
      <c r="W38" s="102">
        <f>VLOOKUP(4,$A$4:$AX$32,23,FALSE)</f>
        <v>0</v>
      </c>
      <c r="X38" s="102">
        <f>VLOOKUP(4,$A$4:$AX$32,24,FALSE)</f>
        <v>0</v>
      </c>
      <c r="Y38" s="102">
        <f>VLOOKUP(4,$A$4:$AX$32,25,FALSE)</f>
        <v>0</v>
      </c>
      <c r="Z38" s="102">
        <f>VLOOKUP(4,$A$4:$AX$32,26,FALSE)</f>
        <v>0</v>
      </c>
      <c r="AA38" s="102">
        <f>VLOOKUP(4,$A$4:$AX$32,27,FALSE)</f>
        <v>0</v>
      </c>
      <c r="AB38" s="102">
        <f>VLOOKUP(4,$A$4:$AX$32,28,FALSE)</f>
        <v>0</v>
      </c>
      <c r="AC38" s="102">
        <f>VLOOKUP(4,$A$4:$AX$32,29,FALSE)</f>
        <v>0</v>
      </c>
      <c r="AD38" s="102">
        <f>VLOOKUP(4,$A$4:$AX$32,30,FALSE)</f>
        <v>5</v>
      </c>
      <c r="AE38" s="102">
        <f>VLOOKUP(4,$A$4:$AX$32,31,FALSE)</f>
        <v>8</v>
      </c>
      <c r="AF38" s="102">
        <f>VLOOKUP(4,$A$4:$AX$32,32,FALSE)</f>
        <v>14</v>
      </c>
      <c r="AG38" s="102">
        <f>VLOOKUP(4,$A$4:$AX$32,33,FALSE)</f>
        <v>24</v>
      </c>
    </row>
    <row r="39" spans="1:33" ht="25.5">
      <c r="A39">
        <v>5</v>
      </c>
      <c r="B39" s="77" t="s">
        <v>47</v>
      </c>
      <c r="C39" s="102">
        <f>VLOOKUP(5,$A$4:$AX$32,3,FALSE)</f>
        <v>4708</v>
      </c>
      <c r="D39" s="102">
        <f>VLOOKUP(5,$A$4:$AX$32,4,FALSE)</f>
        <v>4501</v>
      </c>
      <c r="E39" s="102">
        <f>VLOOKUP(5,$A$4:$AX$32,5,FALSE)</f>
        <v>4706</v>
      </c>
      <c r="F39" s="102">
        <f>VLOOKUP(5,$A$4:$AX$32,6,FALSE)</f>
        <v>4542</v>
      </c>
      <c r="G39" s="102">
        <f>VLOOKUP(5,$A$4:$AX$32,7,FALSE)</f>
        <v>4828</v>
      </c>
      <c r="H39" s="102">
        <f>VLOOKUP(5,$A$4:$AX$32,8,FALSE)</f>
        <v>4811</v>
      </c>
      <c r="I39" s="102">
        <f>VLOOKUP(5,$A$4:$AX$32,9,FALSE)</f>
        <v>4497</v>
      </c>
      <c r="J39" s="102">
        <f>VLOOKUP(5,$A$4:$AX$32,10,FALSE)</f>
        <v>4071</v>
      </c>
      <c r="K39" s="102">
        <f>VLOOKUP(5,$A$4:$AX$32,11,FALSE)</f>
        <v>5257</v>
      </c>
      <c r="L39" s="102">
        <f>VLOOKUP(5,$A$4:$AX$32,12,FALSE)</f>
        <v>4551</v>
      </c>
      <c r="M39" s="102">
        <f>VLOOKUP(5,$A$4:$AX$32,13,FALSE)</f>
        <v>4831</v>
      </c>
      <c r="N39" s="102">
        <f>VLOOKUP(5,$A$4:$AX$32,14,FALSE)</f>
        <v>4617</v>
      </c>
      <c r="O39" s="102">
        <f>VLOOKUP(5,$A$4:$AX$32,15,FALSE)</f>
        <v>4451</v>
      </c>
      <c r="P39" s="102">
        <f>VLOOKUP(5,$A$4:$AX$32,16,FALSE)</f>
        <v>4560</v>
      </c>
      <c r="Q39" s="102">
        <f>VLOOKUP(5,$A$4:$AX$32,17,FALSE)</f>
        <v>4390</v>
      </c>
      <c r="R39" s="102">
        <f>VLOOKUP(5,$A$4:$AX$32,18,FALSE)</f>
        <v>4315</v>
      </c>
      <c r="S39" s="102">
        <f>VLOOKUP(5,$A$4:$AX$32,19,FALSE)</f>
        <v>4435</v>
      </c>
      <c r="T39" s="102">
        <f>VLOOKUP(5,$A$4:$AX$32,20,FALSE)</f>
        <v>4452</v>
      </c>
      <c r="U39" s="102">
        <f>VLOOKUP(5,$A$4:$AX$32,21,FALSE)</f>
        <v>4212</v>
      </c>
      <c r="V39" s="102">
        <f>VLOOKUP(5,$A$4:$AX$32,22,FALSE)</f>
        <v>4076</v>
      </c>
      <c r="W39" s="102">
        <f>VLOOKUP(5,$A$4:$AX$32,23,FALSE)</f>
        <v>4367</v>
      </c>
      <c r="X39" s="102">
        <f>VLOOKUP(5,$A$4:$AX$32,24,FALSE)</f>
        <v>3888</v>
      </c>
      <c r="Y39" s="102">
        <f>VLOOKUP(5,$A$4:$AX$32,25,FALSE)</f>
        <v>4391</v>
      </c>
      <c r="Z39" s="102">
        <f>VLOOKUP(5,$A$4:$AX$32,26,FALSE)</f>
        <v>4201</v>
      </c>
      <c r="AA39" s="102">
        <f>VLOOKUP(5,$A$4:$AX$32,27,FALSE)</f>
        <v>3913</v>
      </c>
      <c r="AB39" s="102">
        <f>VLOOKUP(5,$A$4:$AX$32,28,FALSE)</f>
        <v>4102</v>
      </c>
      <c r="AC39" s="102">
        <f>VLOOKUP(5,$A$4:$AX$32,29,FALSE)</f>
        <v>3720</v>
      </c>
      <c r="AD39" s="102">
        <f>VLOOKUP(5,$A$4:$AX$32,30,FALSE)</f>
        <v>4121</v>
      </c>
      <c r="AE39" s="102">
        <f>VLOOKUP(5,$A$4:$AX$32,31,FALSE)</f>
        <v>3892</v>
      </c>
      <c r="AF39" s="102">
        <f>VLOOKUP(5,$A$4:$AX$32,32,FALSE)</f>
        <v>3669</v>
      </c>
      <c r="AG39" s="102">
        <f>VLOOKUP(5,$A$4:$AX$32,33,FALSE)</f>
        <v>4202</v>
      </c>
    </row>
    <row r="40" spans="1:33" ht="25.5">
      <c r="A40">
        <v>6</v>
      </c>
      <c r="B40" s="77" t="s">
        <v>48</v>
      </c>
      <c r="C40" s="102">
        <f>VLOOKUP(6,$A$4:$AX$32,3,FALSE)</f>
        <v>1674</v>
      </c>
      <c r="D40" s="102">
        <f>VLOOKUP(6,$A$4:$AX$32,4,FALSE)</f>
        <v>1606</v>
      </c>
      <c r="E40" s="102">
        <f>VLOOKUP(6,$A$4:$AX$32,5,FALSE)</f>
        <v>1730</v>
      </c>
      <c r="F40" s="102">
        <f>VLOOKUP(6,$A$4:$AX$32,6,FALSE)</f>
        <v>1662</v>
      </c>
      <c r="G40" s="102">
        <f>VLOOKUP(6,$A$4:$AX$32,7,FALSE)</f>
        <v>1740</v>
      </c>
      <c r="H40" s="102">
        <f>VLOOKUP(6,$A$4:$AX$32,8,FALSE)</f>
        <v>1757</v>
      </c>
      <c r="I40" s="102">
        <f>VLOOKUP(6,$A$4:$AX$32,9,FALSE)</f>
        <v>1714</v>
      </c>
      <c r="J40" s="102">
        <f>VLOOKUP(6,$A$4:$AX$32,10,FALSE)</f>
        <v>1522</v>
      </c>
      <c r="K40" s="102">
        <f>VLOOKUP(6,$A$4:$AX$32,11,FALSE)</f>
        <v>2020</v>
      </c>
      <c r="L40" s="102">
        <f>VLOOKUP(6,$A$4:$AX$32,12,FALSE)</f>
        <v>1733</v>
      </c>
      <c r="M40" s="102">
        <f>VLOOKUP(6,$A$4:$AX$32,13,FALSE)</f>
        <v>1812</v>
      </c>
      <c r="N40" s="102">
        <f>VLOOKUP(6,$A$4:$AX$32,14,FALSE)</f>
        <v>1701</v>
      </c>
      <c r="O40" s="102">
        <f>VLOOKUP(6,$A$4:$AX$32,15,FALSE)</f>
        <v>1697</v>
      </c>
      <c r="P40" s="102">
        <f>VLOOKUP(6,$A$4:$AX$32,16,FALSE)</f>
        <v>1679</v>
      </c>
      <c r="Q40" s="102">
        <f>VLOOKUP(6,$A$4:$AX$32,17,FALSE)</f>
        <v>1693</v>
      </c>
      <c r="R40" s="102">
        <f>VLOOKUP(6,$A$4:$AX$32,18,FALSE)</f>
        <v>1688</v>
      </c>
      <c r="S40" s="102">
        <f>VLOOKUP(6,$A$4:$AX$32,19,FALSE)</f>
        <v>1688</v>
      </c>
      <c r="T40" s="102">
        <f>VLOOKUP(6,$A$4:$AX$32,20,FALSE)</f>
        <v>1688</v>
      </c>
      <c r="U40" s="102">
        <f>VLOOKUP(6,$A$4:$AX$32,21,FALSE)</f>
        <v>1604</v>
      </c>
      <c r="V40" s="102">
        <f>VLOOKUP(6,$A$4:$AX$32,22,FALSE)</f>
        <v>1570</v>
      </c>
      <c r="W40" s="102">
        <f>VLOOKUP(6,$A$4:$AX$32,23,FALSE)</f>
        <v>1730</v>
      </c>
      <c r="X40" s="102">
        <f>VLOOKUP(6,$A$4:$AX$32,24,FALSE)</f>
        <v>1531</v>
      </c>
      <c r="Y40" s="102">
        <f>VLOOKUP(6,$A$4:$AX$32,25,FALSE)</f>
        <v>1750</v>
      </c>
      <c r="Z40" s="102">
        <f>VLOOKUP(6,$A$4:$AX$32,26,FALSE)</f>
        <v>1668</v>
      </c>
      <c r="AA40" s="102">
        <f>VLOOKUP(6,$A$4:$AX$32,27,FALSE)</f>
        <v>1464</v>
      </c>
      <c r="AB40" s="102">
        <f>VLOOKUP(6,$A$4:$AX$32,28,FALSE)</f>
        <v>1601</v>
      </c>
      <c r="AC40" s="102">
        <f>VLOOKUP(6,$A$4:$AX$32,29,FALSE)</f>
        <v>1439</v>
      </c>
      <c r="AD40" s="102">
        <f>VLOOKUP(6,$A$4:$AX$32,30,FALSE)</f>
        <v>1601</v>
      </c>
      <c r="AE40" s="102">
        <f>VLOOKUP(6,$A$4:$AX$32,31,FALSE)</f>
        <v>1536</v>
      </c>
      <c r="AF40" s="102">
        <f>VLOOKUP(6,$A$4:$AX$32,32,FALSE)</f>
        <v>1412</v>
      </c>
      <c r="AG40" s="102">
        <f>VLOOKUP(6,$A$4:$AX$32,33,FALSE)</f>
        <v>1579</v>
      </c>
    </row>
    <row r="41" spans="1:33" ht="12.75">
      <c r="A41">
        <v>7</v>
      </c>
      <c r="B41" s="77" t="s">
        <v>49</v>
      </c>
      <c r="C41" s="102">
        <f>VLOOKUP(7,$A$4:$AX$32,3,FALSE)</f>
        <v>0</v>
      </c>
      <c r="D41" s="102">
        <f>VLOOKUP(7,$A$4:$AX$32,4,FALSE)</f>
        <v>0</v>
      </c>
      <c r="E41" s="102">
        <f>VLOOKUP(7,$A$4:$AX$32,5,FALSE)</f>
        <v>0</v>
      </c>
      <c r="F41" s="102">
        <f>VLOOKUP(7,$A$4:$AX$32,6,FALSE)</f>
        <v>0</v>
      </c>
      <c r="G41" s="102">
        <f>VLOOKUP(7,$A$4:$AX$32,7,FALSE)</f>
        <v>0</v>
      </c>
      <c r="H41" s="102">
        <f>VLOOKUP(7,$A$4:$AX$32,8,FALSE)</f>
        <v>0</v>
      </c>
      <c r="I41" s="102">
        <f>VLOOKUP(7,$A$4:$AX$32,9,FALSE)</f>
        <v>0</v>
      </c>
      <c r="J41" s="102">
        <f>VLOOKUP(7,$A$4:$AX$32,10,FALSE)</f>
        <v>0</v>
      </c>
      <c r="K41" s="102">
        <f>VLOOKUP(7,$A$4:$AX$32,11,FALSE)</f>
        <v>0</v>
      </c>
      <c r="L41" s="102">
        <f>VLOOKUP(7,$A$4:$AX$32,12,FALSE)</f>
        <v>0</v>
      </c>
      <c r="M41" s="102">
        <f>VLOOKUP(7,$A$4:$AX$32,13,FALSE)</f>
        <v>0</v>
      </c>
      <c r="N41" s="102">
        <f>VLOOKUP(7,$A$4:$AX$32,14,FALSE)</f>
        <v>0</v>
      </c>
      <c r="O41" s="102">
        <f>VLOOKUP(7,$A$4:$AX$32,15,FALSE)</f>
        <v>0</v>
      </c>
      <c r="P41" s="102">
        <f>VLOOKUP(7,$A$4:$AX$32,16,FALSE)</f>
        <v>0</v>
      </c>
      <c r="Q41" s="102">
        <f>VLOOKUP(7,$A$4:$AX$32,17,FALSE)</f>
        <v>0</v>
      </c>
      <c r="R41" s="102">
        <f>VLOOKUP(7,$A$4:$AX$32,18,FALSE)</f>
        <v>0</v>
      </c>
      <c r="S41" s="102">
        <f>VLOOKUP(7,$A$4:$AX$32,19,FALSE)</f>
        <v>0</v>
      </c>
      <c r="T41" s="102">
        <f>VLOOKUP(7,$A$4:$AX$32,20,FALSE)</f>
        <v>0</v>
      </c>
      <c r="U41" s="102">
        <f>VLOOKUP(7,$A$4:$AX$32,21,FALSE)</f>
        <v>0</v>
      </c>
      <c r="V41" s="102">
        <f>VLOOKUP(7,$A$4:$AX$32,22,FALSE)</f>
        <v>0</v>
      </c>
      <c r="W41" s="102">
        <f>VLOOKUP(7,$A$4:$AX$32,23,FALSE)</f>
        <v>0</v>
      </c>
      <c r="X41" s="102">
        <f>VLOOKUP(7,$A$4:$AX$32,24,FALSE)</f>
        <v>0</v>
      </c>
      <c r="Y41" s="102">
        <f>VLOOKUP(7,$A$4:$AX$32,25,FALSE)</f>
        <v>0</v>
      </c>
      <c r="Z41" s="102">
        <f>VLOOKUP(7,$A$4:$AX$32,26,FALSE)</f>
        <v>42</v>
      </c>
      <c r="AA41" s="102">
        <f>VLOOKUP(7,$A$4:$AX$32,27,FALSE)</f>
        <v>94</v>
      </c>
      <c r="AB41" s="102">
        <f>VLOOKUP(7,$A$4:$AX$32,28,FALSE)</f>
        <v>115</v>
      </c>
      <c r="AC41" s="102">
        <f>VLOOKUP(7,$A$4:$AX$32,29,FALSE)</f>
        <v>140</v>
      </c>
      <c r="AD41" s="102">
        <f>VLOOKUP(7,$A$4:$AX$32,30,FALSE)</f>
        <v>230</v>
      </c>
      <c r="AE41" s="102">
        <f>VLOOKUP(7,$A$4:$AX$32,31,FALSE)</f>
        <v>251</v>
      </c>
      <c r="AF41" s="102">
        <f>VLOOKUP(7,$A$4:$AX$32,32,FALSE)</f>
        <v>284</v>
      </c>
      <c r="AG41" s="102">
        <f>VLOOKUP(7,$A$4:$AX$32,33,FALSE)</f>
        <v>308</v>
      </c>
    </row>
    <row r="42" spans="1:33" ht="25.5">
      <c r="A42">
        <v>8</v>
      </c>
      <c r="B42" s="77" t="s">
        <v>50</v>
      </c>
      <c r="C42" s="102">
        <f>VLOOKUP(8,$A$4:$AX$32,3,FALSE)</f>
        <v>337</v>
      </c>
      <c r="D42" s="102">
        <f>VLOOKUP(8,$A$4:$AX$32,4,FALSE)</f>
        <v>322</v>
      </c>
      <c r="E42" s="102">
        <f>VLOOKUP(8,$A$4:$AX$32,5,FALSE)</f>
        <v>337</v>
      </c>
      <c r="F42" s="102">
        <f>VLOOKUP(8,$A$4:$AX$32,6,FALSE)</f>
        <v>328</v>
      </c>
      <c r="G42" s="102">
        <f>VLOOKUP(8,$A$4:$AX$32,7,FALSE)</f>
        <v>323</v>
      </c>
      <c r="H42" s="102">
        <f>VLOOKUP(8,$A$4:$AX$32,8,FALSE)</f>
        <v>325</v>
      </c>
      <c r="I42" s="102">
        <f>VLOOKUP(8,$A$4:$AX$32,9,FALSE)</f>
        <v>313</v>
      </c>
      <c r="J42" s="102">
        <f>VLOOKUP(8,$A$4:$AX$32,10,FALSE)</f>
        <v>254</v>
      </c>
      <c r="K42" s="102">
        <f>VLOOKUP(8,$A$4:$AX$32,11,FALSE)</f>
        <v>374</v>
      </c>
      <c r="L42" s="102">
        <f>VLOOKUP(8,$A$4:$AX$32,12,FALSE)</f>
        <v>309</v>
      </c>
      <c r="M42" s="102">
        <f>VLOOKUP(8,$A$4:$AX$32,13,FALSE)</f>
        <v>341</v>
      </c>
      <c r="N42" s="102">
        <f>VLOOKUP(8,$A$4:$AX$32,14,FALSE)</f>
        <v>340</v>
      </c>
      <c r="O42" s="102">
        <f>VLOOKUP(8,$A$4:$AX$32,15,FALSE)</f>
        <v>320</v>
      </c>
      <c r="P42" s="102">
        <f>VLOOKUP(8,$A$4:$AX$32,16,FALSE)</f>
        <v>323</v>
      </c>
      <c r="Q42" s="102">
        <f>VLOOKUP(8,$A$4:$AX$32,17,FALSE)</f>
        <v>328</v>
      </c>
      <c r="R42" s="102">
        <f>VLOOKUP(8,$A$4:$AX$32,18,FALSE)</f>
        <v>333</v>
      </c>
      <c r="S42" s="102">
        <f>VLOOKUP(8,$A$4:$AX$32,19,FALSE)</f>
        <v>346</v>
      </c>
      <c r="T42" s="102">
        <f>VLOOKUP(8,$A$4:$AX$32,20,FALSE)</f>
        <v>351</v>
      </c>
      <c r="U42" s="102">
        <f>VLOOKUP(8,$A$4:$AX$32,21,FALSE)</f>
        <v>335</v>
      </c>
      <c r="V42" s="102">
        <f>VLOOKUP(8,$A$4:$AX$32,22,FALSE)</f>
        <v>325</v>
      </c>
      <c r="W42" s="102">
        <f>VLOOKUP(8,$A$4:$AX$32,23,FALSE)</f>
        <v>374</v>
      </c>
      <c r="X42" s="102">
        <f>VLOOKUP(8,$A$4:$AX$32,24,FALSE)</f>
        <v>317</v>
      </c>
      <c r="Y42" s="102">
        <f>VLOOKUP(8,$A$4:$AX$32,25,FALSE)</f>
        <v>357</v>
      </c>
      <c r="Z42" s="102">
        <f>VLOOKUP(8,$A$4:$AX$32,26,FALSE)</f>
        <v>350</v>
      </c>
      <c r="AA42" s="102">
        <f>VLOOKUP(8,$A$4:$AX$32,27,FALSE)</f>
        <v>310</v>
      </c>
      <c r="AB42" s="102">
        <f>VLOOKUP(8,$A$4:$AX$32,28,FALSE)</f>
        <v>338</v>
      </c>
      <c r="AC42" s="102">
        <f>VLOOKUP(8,$A$4:$AX$32,29,FALSE)</f>
        <v>293</v>
      </c>
      <c r="AD42" s="102">
        <f>VLOOKUP(8,$A$4:$AX$32,30,FALSE)</f>
        <v>341</v>
      </c>
      <c r="AE42" s="102">
        <f>VLOOKUP(8,$A$4:$AX$32,31,FALSE)</f>
        <v>313</v>
      </c>
      <c r="AF42" s="102">
        <f>VLOOKUP(8,$A$4:$AX$32,32,FALSE)</f>
        <v>303</v>
      </c>
      <c r="AG42" s="102">
        <f>VLOOKUP(8,$A$4:$AX$32,33,FALSE)</f>
        <v>341</v>
      </c>
    </row>
    <row r="43" spans="1:33" ht="25.5">
      <c r="A43">
        <v>9</v>
      </c>
      <c r="B43" s="77" t="s">
        <v>51</v>
      </c>
      <c r="C43" s="102">
        <f>VLOOKUP(9,$A$4:$AX$32,3,FALSE)</f>
        <v>592</v>
      </c>
      <c r="D43" s="102">
        <f>VLOOKUP(9,$A$4:$AX$32,4,FALSE)</f>
        <v>575</v>
      </c>
      <c r="E43" s="102">
        <f>VLOOKUP(9,$A$4:$AX$32,5,FALSE)</f>
        <v>624</v>
      </c>
      <c r="F43" s="102">
        <f>VLOOKUP(9,$A$4:$AX$32,6,FALSE)</f>
        <v>609</v>
      </c>
      <c r="G43" s="102">
        <f>VLOOKUP(9,$A$4:$AX$32,7,FALSE)</f>
        <v>658</v>
      </c>
      <c r="H43" s="102">
        <f>VLOOKUP(9,$A$4:$AX$32,8,FALSE)</f>
        <v>636</v>
      </c>
      <c r="I43" s="102">
        <f>VLOOKUP(9,$A$4:$AX$32,9,FALSE)</f>
        <v>607</v>
      </c>
      <c r="J43" s="102">
        <f>VLOOKUP(9,$A$4:$AX$32,10,FALSE)</f>
        <v>541</v>
      </c>
      <c r="K43" s="102">
        <f>VLOOKUP(9,$A$4:$AX$32,11,FALSE)</f>
        <v>729</v>
      </c>
      <c r="L43" s="102">
        <f>VLOOKUP(9,$A$4:$AX$32,12,FALSE)</f>
        <v>602</v>
      </c>
      <c r="M43" s="102">
        <f>VLOOKUP(9,$A$4:$AX$32,13,FALSE)</f>
        <v>640</v>
      </c>
      <c r="N43" s="102">
        <f>VLOOKUP(9,$A$4:$AX$32,14,FALSE)</f>
        <v>627</v>
      </c>
      <c r="O43" s="102">
        <f>VLOOKUP(9,$A$4:$AX$32,15,FALSE)</f>
        <v>599</v>
      </c>
      <c r="P43" s="102">
        <f>VLOOKUP(9,$A$4:$AX$32,16,FALSE)</f>
        <v>620</v>
      </c>
      <c r="Q43" s="102">
        <f>VLOOKUP(9,$A$4:$AX$32,17,FALSE)</f>
        <v>585</v>
      </c>
      <c r="R43" s="102">
        <f>VLOOKUP(9,$A$4:$AX$32,18,FALSE)</f>
        <v>589</v>
      </c>
      <c r="S43" s="102">
        <f>VLOOKUP(9,$A$4:$AX$32,19,FALSE)</f>
        <v>600</v>
      </c>
      <c r="T43" s="102">
        <f>VLOOKUP(9,$A$4:$AX$32,20,FALSE)</f>
        <v>603</v>
      </c>
      <c r="U43" s="102">
        <f>VLOOKUP(9,$A$4:$AX$32,21,FALSE)</f>
        <v>560</v>
      </c>
      <c r="V43" s="102">
        <f>VLOOKUP(9,$A$4:$AX$32,22,FALSE)</f>
        <v>558</v>
      </c>
      <c r="W43" s="102">
        <f>VLOOKUP(9,$A$4:$AX$32,23,FALSE)</f>
        <v>621</v>
      </c>
      <c r="X43" s="102">
        <f>VLOOKUP(9,$A$4:$AX$32,24,FALSE)</f>
        <v>532</v>
      </c>
      <c r="Y43" s="102">
        <f>VLOOKUP(9,$A$4:$AX$32,25,FALSE)</f>
        <v>591</v>
      </c>
      <c r="Z43" s="102">
        <f>VLOOKUP(9,$A$4:$AX$32,26,FALSE)</f>
        <v>580</v>
      </c>
      <c r="AA43" s="102">
        <f>VLOOKUP(9,$A$4:$AX$32,27,FALSE)</f>
        <v>548</v>
      </c>
      <c r="AB43" s="102">
        <f>VLOOKUP(9,$A$4:$AX$32,28,FALSE)</f>
        <v>568</v>
      </c>
      <c r="AC43" s="102">
        <f>VLOOKUP(9,$A$4:$AX$32,29,FALSE)</f>
        <v>514</v>
      </c>
      <c r="AD43" s="102">
        <f>VLOOKUP(9,$A$4:$AX$32,30,FALSE)</f>
        <v>567</v>
      </c>
      <c r="AE43" s="102">
        <f>VLOOKUP(9,$A$4:$AX$32,31,FALSE)</f>
        <v>549</v>
      </c>
      <c r="AF43" s="102">
        <f>VLOOKUP(9,$A$4:$AX$32,32,FALSE)</f>
        <v>509</v>
      </c>
      <c r="AG43" s="102">
        <f>VLOOKUP(9,$A$4:$AX$32,33,FALSE)</f>
        <v>566</v>
      </c>
    </row>
    <row r="44" spans="1:33" ht="25.5">
      <c r="A44">
        <v>10</v>
      </c>
      <c r="B44" s="77" t="s">
        <v>52</v>
      </c>
      <c r="C44" s="102">
        <f>VLOOKUP(10,$A$4:$AX$32,3,FALSE)</f>
        <v>646</v>
      </c>
      <c r="D44" s="102">
        <f>VLOOKUP(10,$A$4:$AX$32,4,FALSE)</f>
        <v>613</v>
      </c>
      <c r="E44" s="102">
        <f>VLOOKUP(10,$A$4:$AX$32,5,FALSE)</f>
        <v>658</v>
      </c>
      <c r="F44" s="102">
        <f>VLOOKUP(10,$A$4:$AX$32,6,FALSE)</f>
        <v>662</v>
      </c>
      <c r="G44" s="102">
        <f>VLOOKUP(10,$A$4:$AX$32,7,FALSE)</f>
        <v>706</v>
      </c>
      <c r="H44" s="102">
        <f>VLOOKUP(10,$A$4:$AX$32,8,FALSE)</f>
        <v>721</v>
      </c>
      <c r="I44" s="102">
        <f>VLOOKUP(10,$A$4:$AX$32,9,FALSE)</f>
        <v>708</v>
      </c>
      <c r="J44" s="102">
        <f>VLOOKUP(10,$A$4:$AX$32,10,FALSE)</f>
        <v>639</v>
      </c>
      <c r="K44" s="102">
        <f>VLOOKUP(10,$A$4:$AX$32,11,FALSE)</f>
        <v>901</v>
      </c>
      <c r="L44" s="102">
        <f>VLOOKUP(10,$A$4:$AX$32,12,FALSE)</f>
        <v>743</v>
      </c>
      <c r="M44" s="102">
        <f>VLOOKUP(10,$A$4:$AX$32,13,FALSE)</f>
        <v>782</v>
      </c>
      <c r="N44" s="102">
        <f>VLOOKUP(10,$A$4:$AX$32,14,FALSE)</f>
        <v>774</v>
      </c>
      <c r="O44" s="102">
        <f>VLOOKUP(10,$A$4:$AX$32,15,FALSE)</f>
        <v>736</v>
      </c>
      <c r="P44" s="102">
        <f>VLOOKUP(10,$A$4:$AX$32,16,FALSE)</f>
        <v>754</v>
      </c>
      <c r="Q44" s="102">
        <f>VLOOKUP(10,$A$4:$AX$32,17,FALSE)</f>
        <v>752</v>
      </c>
      <c r="R44" s="102">
        <f>VLOOKUP(10,$A$4:$AX$32,18,FALSE)</f>
        <v>773</v>
      </c>
      <c r="S44" s="102">
        <f>VLOOKUP(10,$A$4:$AX$32,19,FALSE)</f>
        <v>747</v>
      </c>
      <c r="T44" s="102">
        <f>VLOOKUP(10,$A$4:$AX$32,20,FALSE)</f>
        <v>814</v>
      </c>
      <c r="U44" s="102">
        <f>VLOOKUP(10,$A$4:$AX$32,21,FALSE)</f>
        <v>759</v>
      </c>
      <c r="V44" s="102">
        <f>VLOOKUP(10,$A$4:$AX$32,22,FALSE)</f>
        <v>739</v>
      </c>
      <c r="W44" s="102">
        <f>VLOOKUP(10,$A$4:$AX$32,23,FALSE)</f>
        <v>809</v>
      </c>
      <c r="X44" s="102">
        <f>VLOOKUP(10,$A$4:$AX$32,24,FALSE)</f>
        <v>745</v>
      </c>
      <c r="Y44" s="102">
        <f>VLOOKUP(10,$A$4:$AX$32,25,FALSE)</f>
        <v>842</v>
      </c>
      <c r="Z44" s="102">
        <f>VLOOKUP(10,$A$4:$AX$32,26,FALSE)</f>
        <v>791</v>
      </c>
      <c r="AA44" s="102">
        <f>VLOOKUP(10,$A$4:$AX$32,27,FALSE)</f>
        <v>732</v>
      </c>
      <c r="AB44" s="102">
        <f>VLOOKUP(10,$A$4:$AX$32,28,FALSE)</f>
        <v>744</v>
      </c>
      <c r="AC44" s="102">
        <f>VLOOKUP(10,$A$4:$AX$32,29,FALSE)</f>
        <v>734</v>
      </c>
      <c r="AD44" s="102">
        <f>VLOOKUP(10,$A$4:$AX$32,30,FALSE)</f>
        <v>791</v>
      </c>
      <c r="AE44" s="102">
        <f>VLOOKUP(10,$A$4:$AX$32,31,FALSE)</f>
        <v>783</v>
      </c>
      <c r="AF44" s="102">
        <f>VLOOKUP(10,$A$4:$AX$32,32,FALSE)</f>
        <v>720</v>
      </c>
      <c r="AG44" s="102">
        <f>VLOOKUP(10,$A$4:$AX$32,33,FALSE)</f>
        <v>795</v>
      </c>
    </row>
    <row r="45" spans="1:33" ht="12.75">
      <c r="A45">
        <v>11</v>
      </c>
      <c r="B45" s="77" t="s">
        <v>53</v>
      </c>
      <c r="C45" s="102">
        <f>VLOOKUP(11,$A$4:$AX$32,3,FALSE)</f>
        <v>3514</v>
      </c>
      <c r="D45" s="102">
        <f>VLOOKUP(11,$A$4:$AX$32,4,FALSE)</f>
        <v>3412</v>
      </c>
      <c r="E45" s="102">
        <f>VLOOKUP(11,$A$4:$AX$32,5,FALSE)</f>
        <v>3582</v>
      </c>
      <c r="F45" s="102">
        <f>VLOOKUP(11,$A$4:$AX$32,6,FALSE)</f>
        <v>3564</v>
      </c>
      <c r="G45" s="102">
        <f>VLOOKUP(11,$A$4:$AX$32,7,FALSE)</f>
        <v>3783</v>
      </c>
      <c r="H45" s="102">
        <f>VLOOKUP(11,$A$4:$AX$32,8,FALSE)</f>
        <v>3843</v>
      </c>
      <c r="I45" s="102">
        <f>VLOOKUP(11,$A$4:$AX$32,9,FALSE)</f>
        <v>3780</v>
      </c>
      <c r="J45" s="102">
        <f>VLOOKUP(11,$A$4:$AX$32,10,FALSE)</f>
        <v>3334</v>
      </c>
      <c r="K45" s="102">
        <f>VLOOKUP(11,$A$4:$AX$32,11,FALSE)</f>
        <v>4563</v>
      </c>
      <c r="L45" s="102">
        <f>VLOOKUP(11,$A$4:$AX$32,12,FALSE)</f>
        <v>3956</v>
      </c>
      <c r="M45" s="102">
        <f>VLOOKUP(11,$A$4:$AX$32,13,FALSE)</f>
        <v>4152</v>
      </c>
      <c r="N45" s="102">
        <f>VLOOKUP(11,$A$4:$AX$32,14,FALSE)</f>
        <v>4110</v>
      </c>
      <c r="O45" s="102">
        <f>VLOOKUP(11,$A$4:$AX$32,15,FALSE)</f>
        <v>4047</v>
      </c>
      <c r="P45" s="102">
        <f>VLOOKUP(11,$A$4:$AX$32,16,FALSE)</f>
        <v>4051</v>
      </c>
      <c r="Q45" s="102">
        <f>VLOOKUP(11,$A$4:$AX$32,17,FALSE)</f>
        <v>4074</v>
      </c>
      <c r="R45" s="102">
        <f>VLOOKUP(11,$A$4:$AX$32,18,FALSE)</f>
        <v>4031</v>
      </c>
      <c r="S45" s="102">
        <f>VLOOKUP(11,$A$4:$AX$32,19,FALSE)</f>
        <v>4330</v>
      </c>
      <c r="T45" s="102">
        <f>VLOOKUP(11,$A$4:$AX$32,20,FALSE)</f>
        <v>4449</v>
      </c>
      <c r="U45" s="102">
        <f>VLOOKUP(11,$A$4:$AX$32,21,FALSE)</f>
        <v>4232</v>
      </c>
      <c r="V45" s="102">
        <f>VLOOKUP(11,$A$4:$AX$32,22,FALSE)</f>
        <v>4189</v>
      </c>
      <c r="W45" s="102">
        <f>VLOOKUP(11,$A$4:$AX$32,23,FALSE)</f>
        <v>4587</v>
      </c>
      <c r="X45" s="102">
        <f>VLOOKUP(11,$A$4:$AX$32,24,FALSE)</f>
        <v>4047</v>
      </c>
      <c r="Y45" s="102">
        <f>VLOOKUP(11,$A$4:$AX$32,25,FALSE)</f>
        <v>4698</v>
      </c>
      <c r="Z45" s="102">
        <f>VLOOKUP(11,$A$4:$AX$32,26,FALSE)</f>
        <v>4592</v>
      </c>
      <c r="AA45" s="102">
        <f>VLOOKUP(11,$A$4:$AX$32,27,FALSE)</f>
        <v>4234</v>
      </c>
      <c r="AB45" s="102">
        <f>VLOOKUP(11,$A$4:$AX$32,28,FALSE)</f>
        <v>4562</v>
      </c>
      <c r="AC45" s="102">
        <f>VLOOKUP(11,$A$4:$AX$32,29,FALSE)</f>
        <v>4249</v>
      </c>
      <c r="AD45" s="102">
        <f>VLOOKUP(11,$A$4:$AX$32,30,FALSE)</f>
        <v>4731</v>
      </c>
      <c r="AE45" s="102">
        <f>VLOOKUP(11,$A$4:$AX$32,31,FALSE)</f>
        <v>4509</v>
      </c>
      <c r="AF45" s="102">
        <f>VLOOKUP(11,$A$4:$AX$32,32,FALSE)</f>
        <v>4398</v>
      </c>
      <c r="AG45" s="102">
        <f>VLOOKUP(11,$A$4:$AX$32,33,FALSE)</f>
        <v>4998</v>
      </c>
    </row>
    <row r="46" spans="1:33" ht="12.75">
      <c r="A46">
        <v>12</v>
      </c>
      <c r="B46" s="77" t="s">
        <v>54</v>
      </c>
      <c r="C46" s="102">
        <f>VLOOKUP(12,$A$4:$AX$32,3,FALSE)</f>
        <v>1244</v>
      </c>
      <c r="D46" s="102">
        <f>VLOOKUP(12,$A$4:$AX$32,4,FALSE)</f>
        <v>1183</v>
      </c>
      <c r="E46" s="102">
        <f>VLOOKUP(12,$A$4:$AX$32,5,FALSE)</f>
        <v>1273</v>
      </c>
      <c r="F46" s="102">
        <f>VLOOKUP(12,$A$4:$AX$32,6,FALSE)</f>
        <v>1235</v>
      </c>
      <c r="G46" s="102">
        <f>VLOOKUP(12,$A$4:$AX$32,7,FALSE)</f>
        <v>1316</v>
      </c>
      <c r="H46" s="102">
        <f>VLOOKUP(12,$A$4:$AX$32,8,FALSE)</f>
        <v>1317</v>
      </c>
      <c r="I46" s="102">
        <f>VLOOKUP(12,$A$4:$AX$32,9,FALSE)</f>
        <v>1243</v>
      </c>
      <c r="J46" s="102">
        <f>VLOOKUP(12,$A$4:$AX$32,10,FALSE)</f>
        <v>1177</v>
      </c>
      <c r="K46" s="102">
        <f>VLOOKUP(12,$A$4:$AX$32,11,FALSE)</f>
        <v>1614</v>
      </c>
      <c r="L46" s="102">
        <f>VLOOKUP(12,$A$4:$AX$32,12,FALSE)</f>
        <v>1428</v>
      </c>
      <c r="M46" s="102">
        <f>VLOOKUP(12,$A$4:$AX$32,13,FALSE)</f>
        <v>1479</v>
      </c>
      <c r="N46" s="102">
        <f>VLOOKUP(12,$A$4:$AX$32,14,FALSE)</f>
        <v>1423</v>
      </c>
      <c r="O46" s="102">
        <f>VLOOKUP(12,$A$4:$AX$32,15,FALSE)</f>
        <v>1352</v>
      </c>
      <c r="P46" s="102">
        <f>VLOOKUP(12,$A$4:$AX$32,16,FALSE)</f>
        <v>1437</v>
      </c>
      <c r="Q46" s="102">
        <f>VLOOKUP(12,$A$4:$AX$32,17,FALSE)</f>
        <v>1360</v>
      </c>
      <c r="R46" s="102">
        <f>VLOOKUP(12,$A$4:$AX$32,18,FALSE)</f>
        <v>1381</v>
      </c>
      <c r="S46" s="102">
        <f>VLOOKUP(12,$A$4:$AX$32,19,FALSE)</f>
        <v>1456</v>
      </c>
      <c r="T46" s="102">
        <f>VLOOKUP(12,$A$4:$AX$32,20,FALSE)</f>
        <v>1522</v>
      </c>
      <c r="U46" s="102">
        <f>VLOOKUP(12,$A$4:$AX$32,21,FALSE)</f>
        <v>1416</v>
      </c>
      <c r="V46" s="102">
        <f>VLOOKUP(12,$A$4:$AX$32,22,FALSE)</f>
        <v>1378</v>
      </c>
      <c r="W46" s="102">
        <f>VLOOKUP(12,$A$4:$AX$32,23,FALSE)</f>
        <v>1560</v>
      </c>
      <c r="X46" s="102">
        <f>VLOOKUP(12,$A$4:$AX$32,24,FALSE)</f>
        <v>1334</v>
      </c>
      <c r="Y46" s="102">
        <f>VLOOKUP(12,$A$4:$AX$32,25,FALSE)</f>
        <v>1588</v>
      </c>
      <c r="Z46" s="102">
        <f>VLOOKUP(12,$A$4:$AX$32,26,FALSE)</f>
        <v>1488</v>
      </c>
      <c r="AA46" s="102">
        <f>VLOOKUP(12,$A$4:$AX$32,27,FALSE)</f>
        <v>1430</v>
      </c>
      <c r="AB46" s="102">
        <f>VLOOKUP(12,$A$4:$AX$32,28,FALSE)</f>
        <v>1505</v>
      </c>
      <c r="AC46" s="102">
        <f>VLOOKUP(12,$A$4:$AX$32,29,FALSE)</f>
        <v>1381</v>
      </c>
      <c r="AD46" s="102">
        <f>VLOOKUP(12,$A$4:$AX$32,30,FALSE)</f>
        <v>1578</v>
      </c>
      <c r="AE46" s="102">
        <f>VLOOKUP(12,$A$4:$AX$32,31,FALSE)</f>
        <v>1537</v>
      </c>
      <c r="AF46" s="102">
        <f>VLOOKUP(12,$A$4:$AX$32,32,FALSE)</f>
        <v>1403</v>
      </c>
      <c r="AG46" s="102">
        <f>VLOOKUP(12,$A$4:$AX$32,33,FALSE)</f>
        <v>1636</v>
      </c>
    </row>
    <row r="47" spans="1:33" ht="12.75">
      <c r="A47">
        <v>13</v>
      </c>
      <c r="B47" s="77" t="s">
        <v>55</v>
      </c>
      <c r="C47" s="102">
        <f>VLOOKUP(13,$A$4:$AX$32,3,FALSE)</f>
        <v>954</v>
      </c>
      <c r="D47" s="102">
        <f>VLOOKUP(13,$A$4:$AX$32,4,FALSE)</f>
        <v>918</v>
      </c>
      <c r="E47" s="102">
        <f>VLOOKUP(13,$A$4:$AX$32,5,FALSE)</f>
        <v>968</v>
      </c>
      <c r="F47" s="102">
        <f>VLOOKUP(13,$A$4:$AX$32,6,FALSE)</f>
        <v>931</v>
      </c>
      <c r="G47" s="102">
        <f>VLOOKUP(13,$A$4:$AX$32,7,FALSE)</f>
        <v>988</v>
      </c>
      <c r="H47" s="102">
        <f>VLOOKUP(13,$A$4:$AX$32,8,FALSE)</f>
        <v>1000</v>
      </c>
      <c r="I47" s="102">
        <f>VLOOKUP(13,$A$4:$AX$32,9,FALSE)</f>
        <v>961</v>
      </c>
      <c r="J47" s="102">
        <f>VLOOKUP(13,$A$4:$AX$32,10,FALSE)</f>
        <v>813</v>
      </c>
      <c r="K47" s="102">
        <f>VLOOKUP(13,$A$4:$AX$32,11,FALSE)</f>
        <v>1174</v>
      </c>
      <c r="L47" s="102">
        <f>VLOOKUP(13,$A$4:$AX$32,12,FALSE)</f>
        <v>981</v>
      </c>
      <c r="M47" s="102">
        <f>VLOOKUP(13,$A$4:$AX$32,13,FALSE)</f>
        <v>1087</v>
      </c>
      <c r="N47" s="102">
        <f>VLOOKUP(13,$A$4:$AX$32,14,FALSE)</f>
        <v>1029</v>
      </c>
      <c r="O47" s="102">
        <f>VLOOKUP(13,$A$4:$AX$32,15,FALSE)</f>
        <v>989</v>
      </c>
      <c r="P47" s="102">
        <f>VLOOKUP(13,$A$4:$AX$32,16,FALSE)</f>
        <v>1091</v>
      </c>
      <c r="Q47" s="102">
        <f>VLOOKUP(13,$A$4:$AX$32,17,FALSE)</f>
        <v>1012</v>
      </c>
      <c r="R47" s="102">
        <f>VLOOKUP(13,$A$4:$AX$32,18,FALSE)</f>
        <v>990</v>
      </c>
      <c r="S47" s="102">
        <f>VLOOKUP(13,$A$4:$AX$32,19,FALSE)</f>
        <v>1033</v>
      </c>
      <c r="T47" s="102">
        <f>VLOOKUP(13,$A$4:$AX$32,20,FALSE)</f>
        <v>1079</v>
      </c>
      <c r="U47" s="102">
        <f>VLOOKUP(13,$A$4:$AX$32,21,FALSE)</f>
        <v>1047</v>
      </c>
      <c r="V47" s="102">
        <f>VLOOKUP(13,$A$4:$AX$32,22,FALSE)</f>
        <v>1032</v>
      </c>
      <c r="W47" s="102">
        <f>VLOOKUP(13,$A$4:$AX$32,23,FALSE)</f>
        <v>1145</v>
      </c>
      <c r="X47" s="102">
        <f>VLOOKUP(13,$A$4:$AX$32,24,FALSE)</f>
        <v>1030</v>
      </c>
      <c r="Y47" s="102">
        <f>VLOOKUP(13,$A$4:$AX$32,25,FALSE)</f>
        <v>1185</v>
      </c>
      <c r="Z47" s="102">
        <f>VLOOKUP(13,$A$4:$AX$32,26,FALSE)</f>
        <v>1140</v>
      </c>
      <c r="AA47" s="102">
        <f>VLOOKUP(13,$A$4:$AX$32,27,FALSE)</f>
        <v>1117</v>
      </c>
      <c r="AB47" s="102">
        <f>VLOOKUP(13,$A$4:$AX$32,28,FALSE)</f>
        <v>1150</v>
      </c>
      <c r="AC47" s="102">
        <f>VLOOKUP(13,$A$4:$AX$32,29,FALSE)</f>
        <v>1083</v>
      </c>
      <c r="AD47" s="102">
        <f>VLOOKUP(13,$A$4:$AX$32,30,FALSE)</f>
        <v>1198</v>
      </c>
      <c r="AE47" s="102">
        <f>VLOOKUP(13,$A$4:$AX$32,31,FALSE)</f>
        <v>1148</v>
      </c>
      <c r="AF47" s="102">
        <f>VLOOKUP(13,$A$4:$AX$32,32,FALSE)</f>
        <v>1104</v>
      </c>
      <c r="AG47" s="102">
        <f>VLOOKUP(13,$A$4:$AX$32,33,FALSE)</f>
        <v>1269</v>
      </c>
    </row>
    <row r="48" spans="1:33" ht="12.75">
      <c r="A48">
        <v>14</v>
      </c>
      <c r="B48" s="77" t="s">
        <v>56</v>
      </c>
      <c r="C48" s="102">
        <f>VLOOKUP(14,$A$4:$AX$32,3,FALSE)</f>
        <v>56</v>
      </c>
      <c r="D48" s="102">
        <f>VLOOKUP(14,$A$4:$AX$32,4,FALSE)</f>
        <v>38</v>
      </c>
      <c r="E48" s="102">
        <f>VLOOKUP(14,$A$4:$AX$32,5,FALSE)</f>
        <v>58</v>
      </c>
      <c r="F48" s="102">
        <f>VLOOKUP(14,$A$4:$AX$32,6,FALSE)</f>
        <v>64</v>
      </c>
      <c r="G48" s="102">
        <f>VLOOKUP(14,$A$4:$AX$32,7,FALSE)</f>
        <v>66</v>
      </c>
      <c r="H48" s="102">
        <f>VLOOKUP(14,$A$4:$AX$32,8,FALSE)</f>
        <v>80</v>
      </c>
      <c r="I48" s="102">
        <f>VLOOKUP(14,$A$4:$AX$32,9,FALSE)</f>
        <v>68</v>
      </c>
      <c r="J48" s="102">
        <f>VLOOKUP(14,$A$4:$AX$32,10,FALSE)</f>
        <v>62</v>
      </c>
      <c r="K48" s="102">
        <f>VLOOKUP(14,$A$4:$AX$32,11,FALSE)</f>
        <v>104</v>
      </c>
      <c r="L48" s="102">
        <f>VLOOKUP(14,$A$4:$AX$32,12,FALSE)</f>
        <v>85</v>
      </c>
      <c r="M48" s="102">
        <f>VLOOKUP(14,$A$4:$AX$32,13,FALSE)</f>
        <v>82</v>
      </c>
      <c r="N48" s="102">
        <f>VLOOKUP(14,$A$4:$AX$32,14,FALSE)</f>
        <v>92</v>
      </c>
      <c r="O48" s="102">
        <f>VLOOKUP(14,$A$4:$AX$32,15,FALSE)</f>
        <v>90</v>
      </c>
      <c r="P48" s="102">
        <f>VLOOKUP(14,$A$4:$AX$32,16,FALSE)</f>
        <v>94</v>
      </c>
      <c r="Q48" s="102">
        <f>VLOOKUP(14,$A$4:$AX$32,17,FALSE)</f>
        <v>97</v>
      </c>
      <c r="R48" s="102">
        <f>VLOOKUP(14,$A$4:$AX$32,18,FALSE)</f>
        <v>99</v>
      </c>
      <c r="S48" s="102">
        <f>VLOOKUP(14,$A$4:$AX$32,19,FALSE)</f>
        <v>101</v>
      </c>
      <c r="T48" s="102">
        <f>VLOOKUP(14,$A$4:$AX$32,20,FALSE)</f>
        <v>111</v>
      </c>
      <c r="U48" s="102">
        <f>VLOOKUP(14,$A$4:$AX$32,21,FALSE)</f>
        <v>106</v>
      </c>
      <c r="V48" s="102">
        <f>VLOOKUP(14,$A$4:$AX$32,22,FALSE)</f>
        <v>108</v>
      </c>
      <c r="W48" s="102">
        <f>VLOOKUP(14,$A$4:$AX$32,23,FALSE)</f>
        <v>115</v>
      </c>
      <c r="X48" s="102">
        <f>VLOOKUP(14,$A$4:$AX$32,24,FALSE)</f>
        <v>110</v>
      </c>
      <c r="Y48" s="102">
        <f>VLOOKUP(14,$A$4:$AX$32,25,FALSE)</f>
        <v>136</v>
      </c>
      <c r="Z48" s="102">
        <f>VLOOKUP(14,$A$4:$AX$32,26,FALSE)</f>
        <v>126</v>
      </c>
      <c r="AA48" s="102">
        <f>VLOOKUP(14,$A$4:$AX$32,27,FALSE)</f>
        <v>141</v>
      </c>
      <c r="AB48" s="102">
        <f>VLOOKUP(14,$A$4:$AX$32,28,FALSE)</f>
        <v>139</v>
      </c>
      <c r="AC48" s="102">
        <f>VLOOKUP(14,$A$4:$AX$32,29,FALSE)</f>
        <v>141</v>
      </c>
      <c r="AD48" s="102">
        <f>VLOOKUP(14,$A$4:$AX$32,30,FALSE)</f>
        <v>147</v>
      </c>
      <c r="AE48" s="102">
        <f>VLOOKUP(14,$A$4:$AX$32,31,FALSE)</f>
        <v>163</v>
      </c>
      <c r="AF48" s="102">
        <f>VLOOKUP(14,$A$4:$AX$32,32,FALSE)</f>
        <v>160</v>
      </c>
      <c r="AG48" s="102">
        <f>VLOOKUP(14,$A$4:$AX$32,33,FALSE)</f>
        <v>201</v>
      </c>
    </row>
    <row r="49" spans="1:33" ht="12.75">
      <c r="A49">
        <v>15</v>
      </c>
      <c r="B49" s="77" t="s">
        <v>57</v>
      </c>
      <c r="C49" s="102">
        <f>VLOOKUP(15,$A$4:$AX$32,3,FALSE)</f>
        <v>0</v>
      </c>
      <c r="D49" s="102">
        <f>VLOOKUP(15,$A$4:$AX$32,4,FALSE)</f>
        <v>0</v>
      </c>
      <c r="E49" s="102">
        <f>VLOOKUP(15,$A$4:$AX$32,5,FALSE)</f>
        <v>0</v>
      </c>
      <c r="F49" s="102">
        <f>VLOOKUP(15,$A$4:$AX$32,6,FALSE)</f>
        <v>0</v>
      </c>
      <c r="G49" s="102">
        <f>VLOOKUP(15,$A$4:$AX$32,7,FALSE)</f>
        <v>0</v>
      </c>
      <c r="H49" s="102">
        <f>VLOOKUP(15,$A$4:$AX$32,8,FALSE)</f>
        <v>0</v>
      </c>
      <c r="I49" s="102">
        <f>VLOOKUP(15,$A$4:$AX$32,9,FALSE)</f>
        <v>0</v>
      </c>
      <c r="J49" s="102">
        <f>VLOOKUP(15,$A$4:$AX$32,10,FALSE)</f>
        <v>0</v>
      </c>
      <c r="K49" s="102">
        <f>VLOOKUP(15,$A$4:$AX$32,11,FALSE)</f>
        <v>0</v>
      </c>
      <c r="L49" s="102">
        <f>VLOOKUP(15,$A$4:$AX$32,12,FALSE)</f>
        <v>0</v>
      </c>
      <c r="M49" s="102">
        <f>VLOOKUP(15,$A$4:$AX$32,13,FALSE)</f>
        <v>0</v>
      </c>
      <c r="N49" s="102">
        <f>VLOOKUP(15,$A$4:$AX$32,14,FALSE)</f>
        <v>0</v>
      </c>
      <c r="O49" s="102">
        <f>VLOOKUP(15,$A$4:$AX$32,15,FALSE)</f>
        <v>0</v>
      </c>
      <c r="P49" s="102">
        <f>VLOOKUP(15,$A$4:$AX$32,16,FALSE)</f>
        <v>0</v>
      </c>
      <c r="Q49" s="102">
        <f>VLOOKUP(15,$A$4:$AX$32,17,FALSE)</f>
        <v>0</v>
      </c>
      <c r="R49" s="102">
        <f>VLOOKUP(15,$A$4:$AX$32,18,FALSE)</f>
        <v>0</v>
      </c>
      <c r="S49" s="102">
        <f>VLOOKUP(15,$A$4:$AX$32,19,FALSE)</f>
        <v>0</v>
      </c>
      <c r="T49" s="102">
        <f>VLOOKUP(15,$A$4:$AX$32,20,FALSE)</f>
        <v>0</v>
      </c>
      <c r="U49" s="102">
        <f>VLOOKUP(15,$A$4:$AX$32,21,FALSE)</f>
        <v>0</v>
      </c>
      <c r="V49" s="102">
        <f>VLOOKUP(15,$A$4:$AX$32,22,FALSE)</f>
        <v>182</v>
      </c>
      <c r="W49" s="102">
        <f>VLOOKUP(15,$A$4:$AX$32,23,FALSE)</f>
        <v>445</v>
      </c>
      <c r="X49" s="102">
        <f>VLOOKUP(15,$A$4:$AX$32,24,FALSE)</f>
        <v>563</v>
      </c>
      <c r="Y49" s="102">
        <f>VLOOKUP(15,$A$4:$AX$32,25,FALSE)</f>
        <v>788</v>
      </c>
      <c r="Z49" s="102">
        <f>VLOOKUP(15,$A$4:$AX$32,26,FALSE)</f>
        <v>943</v>
      </c>
      <c r="AA49" s="102">
        <f>VLOOKUP(15,$A$4:$AX$32,27,FALSE)</f>
        <v>1023</v>
      </c>
      <c r="AB49" s="102">
        <f>VLOOKUP(15,$A$4:$AX$32,28,FALSE)</f>
        <v>1113</v>
      </c>
      <c r="AC49" s="102">
        <f>VLOOKUP(15,$A$4:$AX$32,29,FALSE)</f>
        <v>1197</v>
      </c>
      <c r="AD49" s="102">
        <f>VLOOKUP(15,$A$4:$AX$32,30,FALSE)</f>
        <v>1498</v>
      </c>
      <c r="AE49" s="102">
        <f>VLOOKUP(15,$A$4:$AX$32,31,FALSE)</f>
        <v>1574</v>
      </c>
      <c r="AF49" s="102">
        <f>VLOOKUP(15,$A$4:$AX$32,32,FALSE)</f>
        <v>1650</v>
      </c>
      <c r="AG49" s="102">
        <f>VLOOKUP(15,$A$4:$AX$32,33,FALSE)</f>
        <v>1954</v>
      </c>
    </row>
    <row r="50" spans="1:33" ht="12.75">
      <c r="A50">
        <v>16</v>
      </c>
      <c r="B50" s="77" t="s">
        <v>58</v>
      </c>
      <c r="C50" s="102">
        <f>VLOOKUP(16,$A$4:$AX$32,3,FALSE)</f>
        <v>616</v>
      </c>
      <c r="D50" s="102">
        <f>VLOOKUP(16,$A$4:$AX$32,4,FALSE)</f>
        <v>616</v>
      </c>
      <c r="E50" s="102">
        <f>VLOOKUP(16,$A$4:$AX$32,5,FALSE)</f>
        <v>684</v>
      </c>
      <c r="F50" s="102">
        <f>VLOOKUP(16,$A$4:$AX$32,6,FALSE)</f>
        <v>751</v>
      </c>
      <c r="G50" s="102">
        <f>VLOOKUP(16,$A$4:$AX$32,7,FALSE)</f>
        <v>889</v>
      </c>
      <c r="H50" s="102">
        <f>VLOOKUP(16,$A$4:$AX$32,8,FALSE)</f>
        <v>922</v>
      </c>
      <c r="I50" s="102">
        <f>VLOOKUP(16,$A$4:$AX$32,9,FALSE)</f>
        <v>927</v>
      </c>
      <c r="J50" s="102">
        <f>VLOOKUP(16,$A$4:$AX$32,10,FALSE)</f>
        <v>827</v>
      </c>
      <c r="K50" s="102">
        <f>VLOOKUP(16,$A$4:$AX$32,11,FALSE)</f>
        <v>1175</v>
      </c>
      <c r="L50" s="102">
        <f>VLOOKUP(16,$A$4:$AX$32,12,FALSE)</f>
        <v>1047</v>
      </c>
      <c r="M50" s="102">
        <f>VLOOKUP(16,$A$4:$AX$32,13,FALSE)</f>
        <v>1137</v>
      </c>
      <c r="N50" s="102">
        <f>VLOOKUP(16,$A$4:$AX$32,14,FALSE)</f>
        <v>1136</v>
      </c>
      <c r="O50" s="102">
        <f>VLOOKUP(16,$A$4:$AX$32,15,FALSE)</f>
        <v>1123</v>
      </c>
      <c r="P50" s="102">
        <f>VLOOKUP(16,$A$4:$AX$32,16,FALSE)</f>
        <v>1161</v>
      </c>
      <c r="Q50" s="102">
        <f>VLOOKUP(16,$A$4:$AX$32,17,FALSE)</f>
        <v>1147</v>
      </c>
      <c r="R50" s="102">
        <f>VLOOKUP(16,$A$4:$AX$32,18,FALSE)</f>
        <v>1157</v>
      </c>
      <c r="S50" s="102">
        <f>VLOOKUP(16,$A$4:$AX$32,19,FALSE)</f>
        <v>1276</v>
      </c>
      <c r="T50" s="102">
        <f>VLOOKUP(16,$A$4:$AX$32,20,FALSE)</f>
        <v>1347</v>
      </c>
      <c r="U50" s="102">
        <f>VLOOKUP(16,$A$4:$AX$32,21,FALSE)</f>
        <v>1308</v>
      </c>
      <c r="V50" s="102">
        <f>VLOOKUP(16,$A$4:$AX$32,22,FALSE)</f>
        <v>1277</v>
      </c>
      <c r="W50" s="102">
        <f>VLOOKUP(16,$A$4:$AX$32,23,FALSE)</f>
        <v>1410</v>
      </c>
      <c r="X50" s="102">
        <f>VLOOKUP(16,$A$4:$AX$32,24,FALSE)</f>
        <v>1193</v>
      </c>
      <c r="Y50" s="102">
        <f>VLOOKUP(16,$A$4:$AX$32,25,FALSE)</f>
        <v>1329</v>
      </c>
      <c r="Z50" s="102">
        <f>VLOOKUP(16,$A$4:$AX$32,26,FALSE)</f>
        <v>1378</v>
      </c>
      <c r="AA50" s="102">
        <f>VLOOKUP(16,$A$4:$AX$32,27,FALSE)</f>
        <v>1338</v>
      </c>
      <c r="AB50" s="102">
        <f>VLOOKUP(16,$A$4:$AX$32,28,FALSE)</f>
        <v>1386</v>
      </c>
      <c r="AC50" s="102">
        <f>VLOOKUP(16,$A$4:$AX$32,29,FALSE)</f>
        <v>1298</v>
      </c>
      <c r="AD50" s="102">
        <f>VLOOKUP(16,$A$4:$AX$32,30,FALSE)</f>
        <v>1504</v>
      </c>
      <c r="AE50" s="102">
        <f>VLOOKUP(16,$A$4:$AX$32,31,FALSE)</f>
        <v>1387</v>
      </c>
      <c r="AF50" s="102">
        <f>VLOOKUP(16,$A$4:$AX$32,32,FALSE)</f>
        <v>1333</v>
      </c>
      <c r="AG50" s="102">
        <f>VLOOKUP(16,$A$4:$AX$32,33,FALSE)</f>
        <v>1537</v>
      </c>
    </row>
    <row r="51" spans="1:33" ht="12.75">
      <c r="A51">
        <v>17</v>
      </c>
      <c r="B51" s="77" t="s">
        <v>59</v>
      </c>
      <c r="C51" s="102">
        <f>VLOOKUP(17,$A$4:$AX$32,3,FALSE)</f>
        <v>61</v>
      </c>
      <c r="D51" s="102">
        <f>VLOOKUP(17,$A$4:$AX$32,4,FALSE)</f>
        <v>52</v>
      </c>
      <c r="E51" s="102">
        <f>VLOOKUP(17,$A$4:$AX$32,5,FALSE)</f>
        <v>61</v>
      </c>
      <c r="F51" s="102">
        <f>VLOOKUP(17,$A$4:$AX$32,6,FALSE)</f>
        <v>64</v>
      </c>
      <c r="G51" s="102">
        <f>VLOOKUP(17,$A$4:$AX$32,7,FALSE)</f>
        <v>78</v>
      </c>
      <c r="H51" s="102">
        <f>VLOOKUP(17,$A$4:$AX$32,8,FALSE)</f>
        <v>78</v>
      </c>
      <c r="I51" s="102">
        <f>VLOOKUP(17,$A$4:$AX$32,9,FALSE)</f>
        <v>77</v>
      </c>
      <c r="J51" s="102">
        <f>VLOOKUP(17,$A$4:$AX$32,10,FALSE)</f>
        <v>80</v>
      </c>
      <c r="K51" s="102">
        <f>VLOOKUP(17,$A$4:$AX$32,11,FALSE)</f>
        <v>105</v>
      </c>
      <c r="L51" s="102">
        <f>VLOOKUP(17,$A$4:$AX$32,12,FALSE)</f>
        <v>85</v>
      </c>
      <c r="M51" s="102">
        <f>VLOOKUP(17,$A$4:$AX$32,13,FALSE)</f>
        <v>123</v>
      </c>
      <c r="N51" s="102">
        <f>VLOOKUP(17,$A$4:$AX$32,14,FALSE)</f>
        <v>107</v>
      </c>
      <c r="O51" s="102">
        <f>VLOOKUP(17,$A$4:$AX$32,15,FALSE)</f>
        <v>101</v>
      </c>
      <c r="P51" s="102">
        <f>VLOOKUP(17,$A$4:$AX$32,16,FALSE)</f>
        <v>129</v>
      </c>
      <c r="Q51" s="102">
        <f>VLOOKUP(17,$A$4:$AX$32,17,FALSE)</f>
        <v>117</v>
      </c>
      <c r="R51" s="102">
        <f>VLOOKUP(17,$A$4:$AX$32,18,FALSE)</f>
        <v>113</v>
      </c>
      <c r="S51" s="102">
        <f>VLOOKUP(17,$A$4:$AX$32,19,FALSE)</f>
        <v>105</v>
      </c>
      <c r="T51" s="102">
        <f>VLOOKUP(17,$A$4:$AX$32,20,FALSE)</f>
        <v>130</v>
      </c>
      <c r="U51" s="102">
        <f>VLOOKUP(17,$A$4:$AX$32,21,FALSE)</f>
        <v>124</v>
      </c>
      <c r="V51" s="102">
        <f>VLOOKUP(17,$A$4:$AX$32,22,FALSE)</f>
        <v>131</v>
      </c>
      <c r="W51" s="102">
        <f>VLOOKUP(17,$A$4:$AX$32,23,FALSE)</f>
        <v>148</v>
      </c>
      <c r="X51" s="102">
        <f>VLOOKUP(17,$A$4:$AX$32,24,FALSE)</f>
        <v>141</v>
      </c>
      <c r="Y51" s="102">
        <f>VLOOKUP(17,$A$4:$AX$32,25,FALSE)</f>
        <v>163</v>
      </c>
      <c r="Z51" s="102">
        <f>VLOOKUP(17,$A$4:$AX$32,26,FALSE)</f>
        <v>172</v>
      </c>
      <c r="AA51" s="102">
        <f>VLOOKUP(17,$A$4:$AX$32,27,FALSE)</f>
        <v>156</v>
      </c>
      <c r="AB51" s="102">
        <f>VLOOKUP(17,$A$4:$AX$32,28,FALSE)</f>
        <v>165</v>
      </c>
      <c r="AC51" s="102">
        <f>VLOOKUP(17,$A$4:$AX$32,29,FALSE)</f>
        <v>163</v>
      </c>
      <c r="AD51" s="102">
        <f>VLOOKUP(17,$A$4:$AX$32,30,FALSE)</f>
        <v>177</v>
      </c>
      <c r="AE51" s="102">
        <f>VLOOKUP(17,$A$4:$AX$32,31,FALSE)</f>
        <v>186</v>
      </c>
      <c r="AF51" s="102">
        <f>VLOOKUP(17,$A$4:$AX$32,32,FALSE)</f>
        <v>169</v>
      </c>
      <c r="AG51" s="102">
        <f>VLOOKUP(17,$A$4:$AX$32,33,FALSE)</f>
        <v>211</v>
      </c>
    </row>
    <row r="52" spans="1:33" ht="12.75">
      <c r="A52">
        <v>18</v>
      </c>
      <c r="B52" s="77" t="s">
        <v>60</v>
      </c>
      <c r="C52" s="102">
        <f>VLOOKUP(18,$A$4:$AX$32,3,FALSE)</f>
        <v>0</v>
      </c>
      <c r="D52" s="102">
        <f>VLOOKUP(18,$A$4:$AX$32,4,FALSE)</f>
        <v>0</v>
      </c>
      <c r="E52" s="102">
        <f>VLOOKUP(18,$A$4:$AX$32,5,FALSE)</f>
        <v>0</v>
      </c>
      <c r="F52" s="102">
        <f>VLOOKUP(18,$A$4:$AX$32,6,FALSE)</f>
        <v>0</v>
      </c>
      <c r="G52" s="102">
        <f>VLOOKUP(18,$A$4:$AX$32,7,FALSE)</f>
        <v>0</v>
      </c>
      <c r="H52" s="102">
        <f>VLOOKUP(18,$A$4:$AX$32,8,FALSE)</f>
        <v>0</v>
      </c>
      <c r="I52" s="102">
        <f>VLOOKUP(18,$A$4:$AX$32,9,FALSE)</f>
        <v>43</v>
      </c>
      <c r="J52" s="102">
        <f>VLOOKUP(18,$A$4:$AX$32,10,FALSE)</f>
        <v>143</v>
      </c>
      <c r="K52" s="102">
        <f>VLOOKUP(18,$A$4:$AX$32,11,FALSE)</f>
        <v>358</v>
      </c>
      <c r="L52" s="102">
        <f>VLOOKUP(18,$A$4:$AX$32,12,FALSE)</f>
        <v>458</v>
      </c>
      <c r="M52" s="102">
        <f>VLOOKUP(18,$A$4:$AX$32,13,FALSE)</f>
        <v>582</v>
      </c>
      <c r="N52" s="102">
        <f>VLOOKUP(18,$A$4:$AX$32,14,FALSE)</f>
        <v>623</v>
      </c>
      <c r="O52" s="102">
        <f>VLOOKUP(18,$A$4:$AX$32,15,FALSE)</f>
        <v>625</v>
      </c>
      <c r="P52" s="102">
        <f>VLOOKUP(18,$A$4:$AX$32,16,FALSE)</f>
        <v>694</v>
      </c>
      <c r="Q52" s="102">
        <f>VLOOKUP(18,$A$4:$AX$32,17,FALSE)</f>
        <v>721</v>
      </c>
      <c r="R52" s="102">
        <f>VLOOKUP(18,$A$4:$AX$32,18,FALSE)</f>
        <v>754</v>
      </c>
      <c r="S52" s="102">
        <f>VLOOKUP(18,$A$4:$AX$32,19,FALSE)</f>
        <v>805</v>
      </c>
      <c r="T52" s="102">
        <f>VLOOKUP(18,$A$4:$AX$32,20,FALSE)</f>
        <v>901</v>
      </c>
      <c r="U52" s="102">
        <f>VLOOKUP(18,$A$4:$AX$32,21,FALSE)</f>
        <v>885</v>
      </c>
      <c r="V52" s="102">
        <f>VLOOKUP(18,$A$4:$AX$32,22,FALSE)</f>
        <v>851</v>
      </c>
      <c r="W52" s="102">
        <f>VLOOKUP(18,$A$4:$AX$32,23,FALSE)</f>
        <v>962</v>
      </c>
      <c r="X52" s="102">
        <f>VLOOKUP(18,$A$4:$AX$32,24,FALSE)</f>
        <v>883</v>
      </c>
      <c r="Y52" s="102">
        <f>VLOOKUP(18,$A$4:$AX$32,25,FALSE)</f>
        <v>979</v>
      </c>
      <c r="Z52" s="102">
        <f>VLOOKUP(18,$A$4:$AX$32,26,FALSE)</f>
        <v>948</v>
      </c>
      <c r="AA52" s="102">
        <f>VLOOKUP(18,$A$4:$AX$32,27,FALSE)</f>
        <v>869</v>
      </c>
      <c r="AB52" s="102">
        <f>VLOOKUP(18,$A$4:$AX$32,28,FALSE)</f>
        <v>962</v>
      </c>
      <c r="AC52" s="102">
        <f>VLOOKUP(18,$A$4:$AX$32,29,FALSE)</f>
        <v>898</v>
      </c>
      <c r="AD52" s="102">
        <f>VLOOKUP(18,$A$4:$AX$32,30,FALSE)</f>
        <v>1052</v>
      </c>
      <c r="AE52" s="102">
        <f>VLOOKUP(18,$A$4:$AX$32,31,FALSE)</f>
        <v>1025</v>
      </c>
      <c r="AF52" s="102">
        <f>VLOOKUP(18,$A$4:$AX$32,32,FALSE)</f>
        <v>977</v>
      </c>
      <c r="AG52" s="102">
        <f>VLOOKUP(18,$A$4:$AX$32,33,FALSE)</f>
        <v>1151</v>
      </c>
    </row>
    <row r="53" spans="1:33" ht="12.75">
      <c r="A53">
        <v>19</v>
      </c>
      <c r="B53" s="77" t="s">
        <v>61</v>
      </c>
      <c r="C53" s="102">
        <f>VLOOKUP(19,$A$4:$AX$32,3,FALSE)</f>
        <v>0</v>
      </c>
      <c r="D53" s="102">
        <f>VLOOKUP(19,$A$4:$AX$32,4,FALSE)</f>
        <v>0</v>
      </c>
      <c r="E53" s="102">
        <f>VLOOKUP(19,$A$4:$AX$32,5,FALSE)</f>
        <v>0</v>
      </c>
      <c r="F53" s="102">
        <f>VLOOKUP(19,$A$4:$AX$32,6,FALSE)</f>
        <v>0</v>
      </c>
      <c r="G53" s="102">
        <f>VLOOKUP(19,$A$4:$AX$32,7,FALSE)</f>
        <v>0</v>
      </c>
      <c r="H53" s="102">
        <f>VLOOKUP(19,$A$4:$AX$32,8,FALSE)</f>
        <v>0</v>
      </c>
      <c r="I53" s="102">
        <f>VLOOKUP(19,$A$4:$AX$32,9,FALSE)</f>
        <v>0</v>
      </c>
      <c r="J53" s="102">
        <f>VLOOKUP(19,$A$4:$AX$32,10,FALSE)</f>
        <v>0</v>
      </c>
      <c r="K53" s="102">
        <f>VLOOKUP(19,$A$4:$AX$32,11,FALSE)</f>
        <v>0</v>
      </c>
      <c r="L53" s="102">
        <f>VLOOKUP(19,$A$4:$AX$32,12,FALSE)</f>
        <v>0</v>
      </c>
      <c r="M53" s="102">
        <f>VLOOKUP(19,$A$4:$AX$32,13,FALSE)</f>
        <v>0</v>
      </c>
      <c r="N53" s="102">
        <f>VLOOKUP(19,$A$4:$AX$32,14,FALSE)</f>
        <v>0</v>
      </c>
      <c r="O53" s="102">
        <f>VLOOKUP(19,$A$4:$AX$32,15,FALSE)</f>
        <v>0</v>
      </c>
      <c r="P53" s="102">
        <f>VLOOKUP(19,$A$4:$AX$32,16,FALSE)</f>
        <v>0</v>
      </c>
      <c r="Q53" s="102">
        <f>VLOOKUP(19,$A$4:$AX$32,17,FALSE)</f>
        <v>0</v>
      </c>
      <c r="R53" s="102">
        <f>VLOOKUP(19,$A$4:$AX$32,18,FALSE)</f>
        <v>0</v>
      </c>
      <c r="S53" s="102">
        <f>VLOOKUP(19,$A$4:$AX$32,19,FALSE)</f>
        <v>0</v>
      </c>
      <c r="T53" s="102">
        <f>VLOOKUP(19,$A$4:$AX$32,20,FALSE)</f>
        <v>0</v>
      </c>
      <c r="U53" s="102">
        <f>VLOOKUP(19,$A$4:$AX$32,21,FALSE)</f>
        <v>12</v>
      </c>
      <c r="V53" s="102">
        <f>VLOOKUP(19,$A$4:$AX$32,22,FALSE)</f>
        <v>53</v>
      </c>
      <c r="W53" s="102">
        <f>VLOOKUP(19,$A$4:$AX$32,23,FALSE)</f>
        <v>100</v>
      </c>
      <c r="X53" s="102">
        <f>VLOOKUP(19,$A$4:$AX$32,24,FALSE)</f>
        <v>118</v>
      </c>
      <c r="Y53" s="102">
        <f>VLOOKUP(19,$A$4:$AX$32,25,FALSE)</f>
        <v>153</v>
      </c>
      <c r="Z53" s="102">
        <f>VLOOKUP(19,$A$4:$AX$32,26,FALSE)</f>
        <v>190</v>
      </c>
      <c r="AA53" s="102">
        <f>VLOOKUP(19,$A$4:$AX$32,27,FALSE)</f>
        <v>188</v>
      </c>
      <c r="AB53" s="102">
        <f>VLOOKUP(19,$A$4:$AX$32,28,FALSE)</f>
        <v>228</v>
      </c>
      <c r="AC53" s="102">
        <f>VLOOKUP(19,$A$4:$AX$32,29,FALSE)</f>
        <v>227</v>
      </c>
      <c r="AD53" s="102">
        <f>VLOOKUP(19,$A$4:$AX$32,30,FALSE)</f>
        <v>300</v>
      </c>
      <c r="AE53" s="102">
        <f>VLOOKUP(19,$A$4:$AX$32,31,FALSE)</f>
        <v>318</v>
      </c>
      <c r="AF53" s="102">
        <f>VLOOKUP(19,$A$4:$AX$32,32,FALSE)</f>
        <v>327</v>
      </c>
      <c r="AG53" s="102">
        <f>VLOOKUP(19,$A$4:$AX$32,33,FALSE)</f>
        <v>413</v>
      </c>
    </row>
    <row r="54" spans="1:33" ht="12.75">
      <c r="A54">
        <v>20</v>
      </c>
      <c r="B54" s="77" t="s">
        <v>62</v>
      </c>
      <c r="C54" s="102">
        <f>VLOOKUP(20,$A$4:$AX$32,3,FALSE)</f>
        <v>0</v>
      </c>
      <c r="D54" s="102">
        <f>VLOOKUP(20,$A$4:$AX$32,4,FALSE)</f>
        <v>0</v>
      </c>
      <c r="E54" s="102">
        <f>VLOOKUP(20,$A$4:$AX$32,5,FALSE)</f>
        <v>0</v>
      </c>
      <c r="F54" s="102">
        <f>VLOOKUP(20,$A$4:$AX$32,6,FALSE)</f>
        <v>0</v>
      </c>
      <c r="G54" s="102">
        <f>VLOOKUP(20,$A$4:$AX$32,7,FALSE)</f>
        <v>0</v>
      </c>
      <c r="H54" s="102">
        <f>VLOOKUP(20,$A$4:$AX$32,8,FALSE)</f>
        <v>0</v>
      </c>
      <c r="I54" s="102">
        <f>VLOOKUP(20,$A$4:$AX$32,9,FALSE)</f>
        <v>0</v>
      </c>
      <c r="J54" s="102">
        <f>VLOOKUP(20,$A$4:$AX$32,10,FALSE)</f>
        <v>0</v>
      </c>
      <c r="K54" s="102">
        <f>VLOOKUP(20,$A$4:$AX$32,11,FALSE)</f>
        <v>0</v>
      </c>
      <c r="L54" s="102">
        <f>VLOOKUP(20,$A$4:$AX$32,12,FALSE)</f>
        <v>0</v>
      </c>
      <c r="M54" s="102">
        <f>VLOOKUP(20,$A$4:$AX$32,13,FALSE)</f>
        <v>0</v>
      </c>
      <c r="N54" s="102">
        <f>VLOOKUP(20,$A$4:$AX$32,14,FALSE)</f>
        <v>0</v>
      </c>
      <c r="O54" s="102">
        <f>VLOOKUP(20,$A$4:$AX$32,15,FALSE)</f>
        <v>0</v>
      </c>
      <c r="P54" s="102">
        <f>VLOOKUP(20,$A$4:$AX$32,16,FALSE)</f>
        <v>0</v>
      </c>
      <c r="Q54" s="102">
        <f>VLOOKUP(20,$A$4:$AX$32,17,FALSE)</f>
        <v>0</v>
      </c>
      <c r="R54" s="102">
        <f>VLOOKUP(20,$A$4:$AX$32,18,FALSE)</f>
        <v>0</v>
      </c>
      <c r="S54" s="102">
        <f>VLOOKUP(20,$A$4:$AX$32,19,FALSE)</f>
        <v>0</v>
      </c>
      <c r="T54" s="102">
        <f>VLOOKUP(20,$A$4:$AX$32,20,FALSE)</f>
        <v>0</v>
      </c>
      <c r="U54" s="102">
        <f>VLOOKUP(20,$A$4:$AX$32,21,FALSE)</f>
        <v>2</v>
      </c>
      <c r="V54" s="102">
        <f>VLOOKUP(20,$A$4:$AX$32,22,FALSE)</f>
        <v>30</v>
      </c>
      <c r="W54" s="102">
        <f>VLOOKUP(20,$A$4:$AX$32,23,FALSE)</f>
        <v>46</v>
      </c>
      <c r="X54" s="102">
        <f>VLOOKUP(20,$A$4:$AX$32,24,FALSE)</f>
        <v>61</v>
      </c>
      <c r="Y54" s="102">
        <f>VLOOKUP(20,$A$4:$AX$32,25,FALSE)</f>
        <v>79</v>
      </c>
      <c r="Z54" s="102">
        <f>VLOOKUP(20,$A$4:$AX$32,26,FALSE)</f>
        <v>101</v>
      </c>
      <c r="AA54" s="102">
        <f>VLOOKUP(20,$A$4:$AX$32,27,FALSE)</f>
        <v>105</v>
      </c>
      <c r="AB54" s="102">
        <f>VLOOKUP(20,$A$4:$AX$32,28,FALSE)</f>
        <v>135</v>
      </c>
      <c r="AC54" s="102">
        <f>VLOOKUP(20,$A$4:$AX$32,29,FALSE)</f>
        <v>131</v>
      </c>
      <c r="AD54" s="102">
        <f>VLOOKUP(20,$A$4:$AX$32,30,FALSE)</f>
        <v>167</v>
      </c>
      <c r="AE54" s="102">
        <f>VLOOKUP(20,$A$4:$AX$32,31,FALSE)</f>
        <v>177</v>
      </c>
      <c r="AF54" s="102">
        <f>VLOOKUP(20,$A$4:$AX$32,32,FALSE)</f>
        <v>180</v>
      </c>
      <c r="AG54" s="102">
        <f>VLOOKUP(20,$A$4:$AX$32,33,FALSE)</f>
        <v>241</v>
      </c>
    </row>
    <row r="55" spans="1:33" ht="12.75">
      <c r="A55">
        <v>21</v>
      </c>
      <c r="B55" s="77" t="s">
        <v>63</v>
      </c>
      <c r="C55" s="102">
        <f>VLOOKUP(21,$A$4:$AX$32,3,FALSE)</f>
        <v>80</v>
      </c>
      <c r="D55" s="102">
        <f>VLOOKUP(21,$A$4:$AX$32,4,FALSE)</f>
        <v>77</v>
      </c>
      <c r="E55" s="102">
        <f>VLOOKUP(21,$A$4:$AX$32,5,FALSE)</f>
        <v>77</v>
      </c>
      <c r="F55" s="102">
        <f>VLOOKUP(21,$A$4:$AX$32,6,FALSE)</f>
        <v>76</v>
      </c>
      <c r="G55" s="102">
        <f>VLOOKUP(21,$A$4:$AX$32,7,FALSE)</f>
        <v>86</v>
      </c>
      <c r="H55" s="102">
        <f>VLOOKUP(21,$A$4:$AX$32,8,FALSE)</f>
        <v>91</v>
      </c>
      <c r="I55" s="102">
        <f>VLOOKUP(21,$A$4:$AX$32,9,FALSE)</f>
        <v>81</v>
      </c>
      <c r="J55" s="102">
        <f>VLOOKUP(21,$A$4:$AX$32,10,FALSE)</f>
        <v>69</v>
      </c>
      <c r="K55" s="102">
        <f>VLOOKUP(21,$A$4:$AX$32,11,FALSE)</f>
        <v>81</v>
      </c>
      <c r="L55" s="102">
        <f>VLOOKUP(21,$A$4:$AX$32,12,FALSE)</f>
        <v>67</v>
      </c>
      <c r="M55" s="102">
        <f>VLOOKUP(21,$A$4:$AX$32,13,FALSE)</f>
        <v>80</v>
      </c>
      <c r="N55" s="102">
        <f>VLOOKUP(21,$A$4:$AX$32,14,FALSE)</f>
        <v>74</v>
      </c>
      <c r="O55" s="102">
        <f>VLOOKUP(21,$A$4:$AX$32,15,FALSE)</f>
        <v>66</v>
      </c>
      <c r="P55" s="102">
        <f>VLOOKUP(21,$A$4:$AX$32,16,FALSE)</f>
        <v>80</v>
      </c>
      <c r="Q55" s="102">
        <f>VLOOKUP(21,$A$4:$AX$32,17,FALSE)</f>
        <v>77</v>
      </c>
      <c r="R55" s="102">
        <f>VLOOKUP(21,$A$4:$AX$32,18,FALSE)</f>
        <v>84</v>
      </c>
      <c r="S55" s="102">
        <f>VLOOKUP(21,$A$4:$AX$32,19,FALSE)</f>
        <v>75</v>
      </c>
      <c r="T55" s="102">
        <f>VLOOKUP(21,$A$4:$AX$32,20,FALSE)</f>
        <v>85</v>
      </c>
      <c r="U55" s="102">
        <f>VLOOKUP(21,$A$4:$AX$32,21,FALSE)</f>
        <v>68</v>
      </c>
      <c r="V55" s="102">
        <f>VLOOKUP(21,$A$4:$AX$32,22,FALSE)</f>
        <v>75</v>
      </c>
      <c r="W55" s="102">
        <f>VLOOKUP(21,$A$4:$AX$32,23,FALSE)</f>
        <v>70</v>
      </c>
      <c r="X55" s="102">
        <f>VLOOKUP(21,$A$4:$AX$32,24,FALSE)</f>
        <v>59</v>
      </c>
      <c r="Y55" s="102">
        <f>VLOOKUP(21,$A$4:$AX$32,25,FALSE)</f>
        <v>80</v>
      </c>
      <c r="Z55" s="102">
        <f>VLOOKUP(21,$A$4:$AX$32,26,FALSE)</f>
        <v>66</v>
      </c>
      <c r="AA55" s="102">
        <f>VLOOKUP(21,$A$4:$AX$32,27,FALSE)</f>
        <v>69</v>
      </c>
      <c r="AB55" s="102">
        <f>VLOOKUP(21,$A$4:$AX$32,28,FALSE)</f>
        <v>63</v>
      </c>
      <c r="AC55" s="102">
        <f>VLOOKUP(21,$A$4:$AX$32,29,FALSE)</f>
        <v>62</v>
      </c>
      <c r="AD55" s="102">
        <f>VLOOKUP(21,$A$4:$AX$32,30,FALSE)</f>
        <v>92</v>
      </c>
      <c r="AE55" s="102">
        <f>VLOOKUP(21,$A$4:$AX$32,31,FALSE)</f>
        <v>63</v>
      </c>
      <c r="AF55" s="102">
        <f>VLOOKUP(21,$A$4:$AX$32,32,FALSE)</f>
        <v>57</v>
      </c>
      <c r="AG55" s="102">
        <f>VLOOKUP(21,$A$4:$AX$32,33,FALSE)</f>
        <v>80</v>
      </c>
    </row>
    <row r="56" spans="1:33" ht="25.5">
      <c r="A56">
        <v>22</v>
      </c>
      <c r="B56" s="77" t="s">
        <v>64</v>
      </c>
      <c r="C56" s="102">
        <f>VLOOKUP(22,$A$4:$AX$32,3,FALSE)</f>
        <v>327</v>
      </c>
      <c r="D56" s="102">
        <f>VLOOKUP(22,$A$4:$AX$32,4,FALSE)</f>
        <v>256</v>
      </c>
      <c r="E56" s="102">
        <f>VLOOKUP(22,$A$4:$AX$32,5,FALSE)</f>
        <v>277</v>
      </c>
      <c r="F56" s="102">
        <f>VLOOKUP(22,$A$4:$AX$32,6,FALSE)</f>
        <v>268</v>
      </c>
      <c r="G56" s="102">
        <f>VLOOKUP(22,$A$4:$AX$32,7,FALSE)</f>
        <v>271</v>
      </c>
      <c r="H56" s="102">
        <f>VLOOKUP(22,$A$4:$AX$32,8,FALSE)</f>
        <v>313</v>
      </c>
      <c r="I56" s="102">
        <f>VLOOKUP(22,$A$4:$AX$32,9,FALSE)</f>
        <v>257</v>
      </c>
      <c r="J56" s="102">
        <f>VLOOKUP(22,$A$4:$AX$32,10,FALSE)</f>
        <v>257</v>
      </c>
      <c r="K56" s="102">
        <f>VLOOKUP(22,$A$4:$AX$32,11,FALSE)</f>
        <v>318</v>
      </c>
      <c r="L56" s="102">
        <f>VLOOKUP(22,$A$4:$AX$32,12,FALSE)</f>
        <v>240</v>
      </c>
      <c r="M56" s="102">
        <f>VLOOKUP(22,$A$4:$AX$32,13,FALSE)</f>
        <v>285</v>
      </c>
      <c r="N56" s="102">
        <f>VLOOKUP(22,$A$4:$AX$32,14,FALSE)</f>
        <v>265</v>
      </c>
      <c r="O56" s="102">
        <f>VLOOKUP(22,$A$4:$AX$32,15,FALSE)</f>
        <v>269</v>
      </c>
      <c r="P56" s="102">
        <f>VLOOKUP(22,$A$4:$AX$32,16,FALSE)</f>
        <v>273</v>
      </c>
      <c r="Q56" s="102">
        <f>VLOOKUP(22,$A$4:$AX$32,17,FALSE)</f>
        <v>255</v>
      </c>
      <c r="R56" s="102">
        <f>VLOOKUP(22,$A$4:$AX$32,18,FALSE)</f>
        <v>295</v>
      </c>
      <c r="S56" s="102">
        <f>VLOOKUP(22,$A$4:$AX$32,19,FALSE)</f>
        <v>270</v>
      </c>
      <c r="T56" s="102">
        <f>VLOOKUP(22,$A$4:$AX$32,20,FALSE)</f>
        <v>283</v>
      </c>
      <c r="U56" s="102">
        <f>VLOOKUP(22,$A$4:$AX$32,21,FALSE)</f>
        <v>261</v>
      </c>
      <c r="V56" s="102">
        <f>VLOOKUP(22,$A$4:$AX$32,22,FALSE)</f>
        <v>241</v>
      </c>
      <c r="W56" s="102">
        <f>VLOOKUP(22,$A$4:$AX$32,23,FALSE)</f>
        <v>267</v>
      </c>
      <c r="X56" s="102">
        <f>VLOOKUP(22,$A$4:$AX$32,24,FALSE)</f>
        <v>253</v>
      </c>
      <c r="Y56" s="102">
        <f>VLOOKUP(22,$A$4:$AX$32,25,FALSE)</f>
        <v>281</v>
      </c>
      <c r="Z56" s="102">
        <f>VLOOKUP(22,$A$4:$AX$32,26,FALSE)</f>
        <v>253</v>
      </c>
      <c r="AA56" s="102">
        <f>VLOOKUP(22,$A$4:$AX$32,27,FALSE)</f>
        <v>241</v>
      </c>
      <c r="AB56" s="102">
        <f>VLOOKUP(22,$A$4:$AX$32,28,FALSE)</f>
        <v>242</v>
      </c>
      <c r="AC56" s="102">
        <f>VLOOKUP(22,$A$4:$AX$32,29,FALSE)</f>
        <v>256</v>
      </c>
      <c r="AD56" s="102">
        <f>VLOOKUP(22,$A$4:$AX$32,30,FALSE)</f>
        <v>250</v>
      </c>
      <c r="AE56" s="102">
        <f>VLOOKUP(22,$A$4:$AX$32,31,FALSE)</f>
        <v>252</v>
      </c>
      <c r="AF56" s="102">
        <f>VLOOKUP(22,$A$4:$AX$32,32,FALSE)</f>
        <v>237</v>
      </c>
      <c r="AG56" s="102">
        <f>VLOOKUP(22,$A$4:$AX$32,33,FALSE)</f>
        <v>262</v>
      </c>
    </row>
    <row r="57" spans="1:33" ht="25.5">
      <c r="A57">
        <v>23</v>
      </c>
      <c r="B57" s="77" t="s">
        <v>65</v>
      </c>
      <c r="C57" s="102">
        <f>VLOOKUP(23,$A$4:$AX$32,3,FALSE)</f>
        <v>114</v>
      </c>
      <c r="D57" s="102">
        <f>VLOOKUP(23,$A$4:$AX$32,4,FALSE)</f>
        <v>122</v>
      </c>
      <c r="E57" s="102">
        <f>VLOOKUP(23,$A$4:$AX$32,5,FALSE)</f>
        <v>125</v>
      </c>
      <c r="F57" s="102">
        <f>VLOOKUP(23,$A$4:$AX$32,6,FALSE)</f>
        <v>115</v>
      </c>
      <c r="G57" s="102">
        <f>VLOOKUP(23,$A$4:$AX$32,7,FALSE)</f>
        <v>127</v>
      </c>
      <c r="H57" s="102">
        <f>VLOOKUP(23,$A$4:$AX$32,8,FALSE)</f>
        <v>122</v>
      </c>
      <c r="I57" s="102">
        <f>VLOOKUP(23,$A$4:$AX$32,9,FALSE)</f>
        <v>126</v>
      </c>
      <c r="J57" s="102">
        <f>VLOOKUP(23,$A$4:$AX$32,10,FALSE)</f>
        <v>97</v>
      </c>
      <c r="K57" s="102">
        <f>VLOOKUP(23,$A$4:$AX$32,11,FALSE)</f>
        <v>148</v>
      </c>
      <c r="L57" s="102">
        <f>VLOOKUP(23,$A$4:$AX$32,12,FALSE)</f>
        <v>128</v>
      </c>
      <c r="M57" s="102">
        <f>VLOOKUP(23,$A$4:$AX$32,13,FALSE)</f>
        <v>136</v>
      </c>
      <c r="N57" s="102">
        <f>VLOOKUP(23,$A$4:$AX$32,14,FALSE)</f>
        <v>137</v>
      </c>
      <c r="O57" s="102">
        <f>VLOOKUP(23,$A$4:$AX$32,15,FALSE)</f>
        <v>121</v>
      </c>
      <c r="P57" s="102">
        <f>VLOOKUP(23,$A$4:$AX$32,16,FALSE)</f>
        <v>144</v>
      </c>
      <c r="Q57" s="102">
        <f>VLOOKUP(23,$A$4:$AX$32,17,FALSE)</f>
        <v>136</v>
      </c>
      <c r="R57" s="102">
        <f>VLOOKUP(23,$A$4:$AX$32,18,FALSE)</f>
        <v>145</v>
      </c>
      <c r="S57" s="102">
        <f>VLOOKUP(23,$A$4:$AX$32,19,FALSE)</f>
        <v>144</v>
      </c>
      <c r="T57" s="102">
        <f>VLOOKUP(23,$A$4:$AX$32,20,FALSE)</f>
        <v>147</v>
      </c>
      <c r="U57" s="102">
        <f>VLOOKUP(23,$A$4:$AX$32,21,FALSE)</f>
        <v>141</v>
      </c>
      <c r="V57" s="102">
        <f>VLOOKUP(23,$A$4:$AX$32,22,FALSE)</f>
        <v>143</v>
      </c>
      <c r="W57" s="102">
        <f>VLOOKUP(23,$A$4:$AX$32,23,FALSE)</f>
        <v>166</v>
      </c>
      <c r="X57" s="102">
        <f>VLOOKUP(23,$A$4:$AX$32,24,FALSE)</f>
        <v>141</v>
      </c>
      <c r="Y57" s="102">
        <f>VLOOKUP(23,$A$4:$AX$32,25,FALSE)</f>
        <v>173</v>
      </c>
      <c r="Z57" s="102">
        <f>VLOOKUP(23,$A$4:$AX$32,26,FALSE)</f>
        <v>172</v>
      </c>
      <c r="AA57" s="102">
        <f>VLOOKUP(23,$A$4:$AX$32,27,FALSE)</f>
        <v>158</v>
      </c>
      <c r="AB57" s="102">
        <f>VLOOKUP(23,$A$4:$AX$32,28,FALSE)</f>
        <v>172</v>
      </c>
      <c r="AC57" s="102">
        <f>VLOOKUP(23,$A$4:$AX$32,29,FALSE)</f>
        <v>148</v>
      </c>
      <c r="AD57" s="102">
        <f>VLOOKUP(23,$A$4:$AX$32,30,FALSE)</f>
        <v>160</v>
      </c>
      <c r="AE57" s="102">
        <f>VLOOKUP(23,$A$4:$AX$32,31,FALSE)</f>
        <v>171</v>
      </c>
      <c r="AF57" s="102">
        <f>VLOOKUP(23,$A$4:$AX$32,32,FALSE)</f>
        <v>149</v>
      </c>
      <c r="AG57" s="102">
        <f>VLOOKUP(23,$A$4:$AX$32,33,FALSE)</f>
        <v>171</v>
      </c>
    </row>
    <row r="58" spans="1:33" ht="25.5">
      <c r="A58">
        <v>24</v>
      </c>
      <c r="B58" s="77" t="s">
        <v>66</v>
      </c>
      <c r="C58" s="102">
        <f>VLOOKUP(24,$A$4:$AX$32,3,FALSE)</f>
        <v>44</v>
      </c>
      <c r="D58" s="102">
        <f>VLOOKUP(24,$A$4:$AX$32,4,FALSE)</f>
        <v>40</v>
      </c>
      <c r="E58" s="102">
        <f>VLOOKUP(24,$A$4:$AX$32,5,FALSE)</f>
        <v>35</v>
      </c>
      <c r="F58" s="102">
        <f>VLOOKUP(24,$A$4:$AX$32,6,FALSE)</f>
        <v>35</v>
      </c>
      <c r="G58" s="102">
        <f>VLOOKUP(24,$A$4:$AX$32,7,FALSE)</f>
        <v>41</v>
      </c>
      <c r="H58" s="102">
        <f>VLOOKUP(24,$A$4:$AX$32,8,FALSE)</f>
        <v>37</v>
      </c>
      <c r="I58" s="102">
        <f>VLOOKUP(24,$A$4:$AX$32,9,FALSE)</f>
        <v>38</v>
      </c>
      <c r="J58" s="102">
        <f>VLOOKUP(24,$A$4:$AX$32,10,FALSE)</f>
        <v>30</v>
      </c>
      <c r="K58" s="102">
        <f>VLOOKUP(24,$A$4:$AX$32,11,FALSE)</f>
        <v>39</v>
      </c>
      <c r="L58" s="102">
        <f>VLOOKUP(24,$A$4:$AX$32,12,FALSE)</f>
        <v>31</v>
      </c>
      <c r="M58" s="102">
        <f>VLOOKUP(24,$A$4:$AX$32,13,FALSE)</f>
        <v>31</v>
      </c>
      <c r="N58" s="102">
        <f>VLOOKUP(24,$A$4:$AX$32,14,FALSE)</f>
        <v>33</v>
      </c>
      <c r="O58" s="102">
        <f>VLOOKUP(24,$A$4:$AX$32,15,FALSE)</f>
        <v>29</v>
      </c>
      <c r="P58" s="102">
        <f>VLOOKUP(24,$A$4:$AX$32,16,FALSE)</f>
        <v>34</v>
      </c>
      <c r="Q58" s="102">
        <f>VLOOKUP(24,$A$4:$AX$32,17,FALSE)</f>
        <v>32</v>
      </c>
      <c r="R58" s="102">
        <f>VLOOKUP(24,$A$4:$AX$32,18,FALSE)</f>
        <v>35</v>
      </c>
      <c r="S58" s="102">
        <f>VLOOKUP(24,$A$4:$AX$32,19,FALSE)</f>
        <v>32</v>
      </c>
      <c r="T58" s="102">
        <f>VLOOKUP(24,$A$4:$AX$32,20,FALSE)</f>
        <v>33</v>
      </c>
      <c r="U58" s="102">
        <f>VLOOKUP(24,$A$4:$AX$32,21,FALSE)</f>
        <v>31</v>
      </c>
      <c r="V58" s="102">
        <f>VLOOKUP(24,$A$4:$AX$32,22,FALSE)</f>
        <v>26</v>
      </c>
      <c r="W58" s="102">
        <f>VLOOKUP(24,$A$4:$AX$32,23,FALSE)</f>
        <v>31</v>
      </c>
      <c r="X58" s="102">
        <f>VLOOKUP(24,$A$4:$AX$32,24,FALSE)</f>
        <v>28</v>
      </c>
      <c r="Y58" s="102">
        <f>VLOOKUP(24,$A$4:$AX$32,25,FALSE)</f>
        <v>31</v>
      </c>
      <c r="Z58" s="102">
        <f>VLOOKUP(24,$A$4:$AX$32,26,FALSE)</f>
        <v>25</v>
      </c>
      <c r="AA58" s="102">
        <f>VLOOKUP(24,$A$4:$AX$32,27,FALSE)</f>
        <v>22</v>
      </c>
      <c r="AB58" s="102">
        <f>VLOOKUP(24,$A$4:$AX$32,28,FALSE)</f>
        <v>19</v>
      </c>
      <c r="AC58" s="102">
        <f>VLOOKUP(24,$A$4:$AX$32,29,FALSE)</f>
        <v>23</v>
      </c>
      <c r="AD58" s="102">
        <f>VLOOKUP(24,$A$4:$AX$32,30,FALSE)</f>
        <v>28</v>
      </c>
      <c r="AE58" s="102">
        <f>VLOOKUP(24,$A$4:$AX$32,31,FALSE)</f>
        <v>22</v>
      </c>
      <c r="AF58" s="102">
        <f>VLOOKUP(24,$A$4:$AX$32,32,FALSE)</f>
        <v>17</v>
      </c>
      <c r="AG58" s="102">
        <f>VLOOKUP(24,$A$4:$AX$32,33,FALSE)</f>
        <v>20</v>
      </c>
    </row>
    <row r="59" spans="1:33" ht="25.5">
      <c r="A59">
        <v>25</v>
      </c>
      <c r="B59" s="77" t="s">
        <v>67</v>
      </c>
      <c r="C59" s="102">
        <f>VLOOKUP(25,$A$4:$AX$32,3,FALSE)</f>
        <v>0</v>
      </c>
      <c r="D59" s="102">
        <f>VLOOKUP(25,$A$4:$AX$32,4,FALSE)</f>
        <v>0</v>
      </c>
      <c r="E59" s="102">
        <f>VLOOKUP(25,$A$4:$AX$32,5,FALSE)</f>
        <v>0</v>
      </c>
      <c r="F59" s="102">
        <f>VLOOKUP(25,$A$4:$AX$32,6,FALSE)</f>
        <v>0</v>
      </c>
      <c r="G59" s="102">
        <f>VLOOKUP(25,$A$4:$AX$32,7,FALSE)</f>
        <v>0</v>
      </c>
      <c r="H59" s="102">
        <f>VLOOKUP(25,$A$4:$AX$32,8,FALSE)</f>
        <v>0</v>
      </c>
      <c r="I59" s="102">
        <f>VLOOKUP(25,$A$4:$AX$32,9,FALSE)</f>
        <v>0</v>
      </c>
      <c r="J59" s="102">
        <f>VLOOKUP(25,$A$4:$AX$32,10,FALSE)</f>
        <v>0</v>
      </c>
      <c r="K59" s="102">
        <f>VLOOKUP(25,$A$4:$AX$32,11,FALSE)</f>
        <v>0</v>
      </c>
      <c r="L59" s="102">
        <f>VLOOKUP(25,$A$4:$AX$32,12,FALSE)</f>
        <v>0</v>
      </c>
      <c r="M59" s="102">
        <f>VLOOKUP(25,$A$4:$AX$32,13,FALSE)</f>
        <v>0</v>
      </c>
      <c r="N59" s="102">
        <f>VLOOKUP(25,$A$4:$AX$32,14,FALSE)</f>
        <v>0</v>
      </c>
      <c r="O59" s="102">
        <f>VLOOKUP(25,$A$4:$AX$32,15,FALSE)</f>
        <v>0</v>
      </c>
      <c r="P59" s="102">
        <f>VLOOKUP(25,$A$4:$AX$32,16,FALSE)</f>
        <v>0</v>
      </c>
      <c r="Q59" s="102">
        <f>VLOOKUP(25,$A$4:$AX$32,17,FALSE)</f>
        <v>0</v>
      </c>
      <c r="R59" s="102">
        <f>VLOOKUP(25,$A$4:$AX$32,18,FALSE)</f>
        <v>0</v>
      </c>
      <c r="S59" s="102">
        <f>VLOOKUP(25,$A$4:$AX$32,19,FALSE)</f>
        <v>0</v>
      </c>
      <c r="T59" s="102">
        <f>VLOOKUP(25,$A$4:$AX$32,20,FALSE)</f>
        <v>0</v>
      </c>
      <c r="U59" s="102">
        <f>VLOOKUP(25,$A$4:$AX$32,21,FALSE)</f>
        <v>0</v>
      </c>
      <c r="V59" s="102">
        <f>VLOOKUP(25,$A$4:$AX$32,22,FALSE)</f>
        <v>0</v>
      </c>
      <c r="W59" s="102">
        <f>VLOOKUP(25,$A$4:$AX$32,23,FALSE)</f>
        <v>47</v>
      </c>
      <c r="X59" s="102">
        <f>VLOOKUP(25,$A$4:$AX$32,24,FALSE)</f>
        <v>241</v>
      </c>
      <c r="Y59" s="102">
        <f>VLOOKUP(25,$A$4:$AX$32,25,FALSE)</f>
        <v>515</v>
      </c>
      <c r="Z59" s="102">
        <f>VLOOKUP(25,$A$4:$AX$32,26,FALSE)</f>
        <v>660</v>
      </c>
      <c r="AA59" s="102">
        <f>VLOOKUP(25,$A$4:$AX$32,27,FALSE)</f>
        <v>823</v>
      </c>
      <c r="AB59" s="102">
        <f>VLOOKUP(25,$A$4:$AX$32,28,FALSE)</f>
        <v>888</v>
      </c>
      <c r="AC59" s="102">
        <f>VLOOKUP(25,$A$4:$AX$32,29,FALSE)</f>
        <v>899</v>
      </c>
      <c r="AD59" s="102">
        <f>VLOOKUP(25,$A$4:$AX$32,30,FALSE)</f>
        <v>1111</v>
      </c>
      <c r="AE59" s="102">
        <f>VLOOKUP(25,$A$4:$AX$32,31,FALSE)</f>
        <v>1111</v>
      </c>
      <c r="AF59" s="102">
        <f>VLOOKUP(25,$A$4:$AX$32,32,FALSE)</f>
        <v>1098</v>
      </c>
      <c r="AG59" s="102">
        <f>VLOOKUP(25,$A$4:$AX$32,33,FALSE)</f>
        <v>1287</v>
      </c>
    </row>
    <row r="60" spans="1:33" ht="25.5">
      <c r="A60">
        <v>26</v>
      </c>
      <c r="B60" s="77" t="s">
        <v>68</v>
      </c>
      <c r="C60" s="102">
        <f>VLOOKUP(26,$A$4:$AX$32,3,FALSE)</f>
        <v>2335</v>
      </c>
      <c r="D60" s="102">
        <f>VLOOKUP(26,$A$4:$AX$32,4,FALSE)</f>
        <v>2271</v>
      </c>
      <c r="E60" s="102">
        <f>VLOOKUP(26,$A$4:$AX$32,5,FALSE)</f>
        <v>2322</v>
      </c>
      <c r="F60" s="102">
        <f>VLOOKUP(26,$A$4:$AX$32,6,FALSE)</f>
        <v>2254</v>
      </c>
      <c r="G60" s="102">
        <f>VLOOKUP(26,$A$4:$AX$32,7,FALSE)</f>
        <v>2435</v>
      </c>
      <c r="H60" s="102">
        <f>VLOOKUP(26,$A$4:$AX$32,8,FALSE)</f>
        <v>2504</v>
      </c>
      <c r="I60" s="102">
        <f>VLOOKUP(26,$A$4:$AX$32,9,FALSE)</f>
        <v>2302</v>
      </c>
      <c r="J60" s="102">
        <f>VLOOKUP(26,$A$4:$AX$32,10,FALSE)</f>
        <v>2072</v>
      </c>
      <c r="K60" s="102">
        <f>VLOOKUP(26,$A$4:$AX$32,11,FALSE)</f>
        <v>2729</v>
      </c>
      <c r="L60" s="102">
        <f>VLOOKUP(26,$A$4:$AX$32,12,FALSE)</f>
        <v>2343</v>
      </c>
      <c r="M60" s="102">
        <f>VLOOKUP(26,$A$4:$AX$32,13,FALSE)</f>
        <v>2389</v>
      </c>
      <c r="N60" s="102">
        <f>VLOOKUP(26,$A$4:$AX$32,14,FALSE)</f>
        <v>2412</v>
      </c>
      <c r="O60" s="102">
        <f>VLOOKUP(26,$A$4:$AX$32,15,FALSE)</f>
        <v>2398</v>
      </c>
      <c r="P60" s="102">
        <f>VLOOKUP(26,$A$4:$AX$32,16,FALSE)</f>
        <v>2436</v>
      </c>
      <c r="Q60" s="102">
        <f>VLOOKUP(26,$A$4:$AX$32,17,FALSE)</f>
        <v>2347</v>
      </c>
      <c r="R60" s="102">
        <f>VLOOKUP(26,$A$4:$AX$32,18,FALSE)</f>
        <v>2378</v>
      </c>
      <c r="S60" s="102">
        <f>VLOOKUP(26,$A$4:$AX$32,19,FALSE)</f>
        <v>2446</v>
      </c>
      <c r="T60" s="102">
        <f>VLOOKUP(26,$A$4:$AX$32,20,FALSE)</f>
        <v>2450</v>
      </c>
      <c r="U60" s="102">
        <f>VLOOKUP(26,$A$4:$AX$32,21,FALSE)</f>
        <v>2278</v>
      </c>
      <c r="V60" s="102">
        <f>VLOOKUP(26,$A$4:$AX$32,22,FALSE)</f>
        <v>2248</v>
      </c>
      <c r="W60" s="102">
        <f>VLOOKUP(26,$A$4:$AX$32,23,FALSE)</f>
        <v>2437</v>
      </c>
      <c r="X60" s="102">
        <f>VLOOKUP(26,$A$4:$AX$32,24,FALSE)</f>
        <v>1982</v>
      </c>
      <c r="Y60" s="102">
        <f>VLOOKUP(26,$A$4:$AX$32,25,FALSE)</f>
        <v>2062</v>
      </c>
      <c r="Z60" s="102">
        <f>VLOOKUP(26,$A$4:$AX$32,26,FALSE)</f>
        <v>1818</v>
      </c>
      <c r="AA60" s="102">
        <f>VLOOKUP(26,$A$4:$AX$32,27,FALSE)</f>
        <v>1620</v>
      </c>
      <c r="AB60" s="102">
        <f>VLOOKUP(26,$A$4:$AX$32,28,FALSE)</f>
        <v>1656</v>
      </c>
      <c r="AC60" s="102">
        <f>VLOOKUP(26,$A$4:$AX$32,29,FALSE)</f>
        <v>1445</v>
      </c>
      <c r="AD60" s="102">
        <f>VLOOKUP(26,$A$4:$AX$32,30,FALSE)</f>
        <v>1582</v>
      </c>
      <c r="AE60" s="102">
        <f>VLOOKUP(26,$A$4:$AX$32,31,FALSE)</f>
        <v>1442</v>
      </c>
      <c r="AF60" s="102">
        <f>VLOOKUP(26,$A$4:$AX$32,32,FALSE)</f>
        <v>1301</v>
      </c>
      <c r="AG60" s="102">
        <f>VLOOKUP(26,$A$4:$AX$32,33,FALSE)</f>
        <v>1498</v>
      </c>
    </row>
    <row r="61" spans="1:33" ht="25.5">
      <c r="A61">
        <v>27</v>
      </c>
      <c r="B61" s="77" t="s">
        <v>69</v>
      </c>
      <c r="C61" s="102">
        <f>VLOOKUP(27,$A$4:$AX$32,3,FALSE)</f>
        <v>2145</v>
      </c>
      <c r="D61" s="102">
        <f>VLOOKUP(27,$A$4:$AX$32,4,FALSE)</f>
        <v>2052</v>
      </c>
      <c r="E61" s="102">
        <f>VLOOKUP(27,$A$4:$AX$32,5,FALSE)</f>
        <v>2136</v>
      </c>
      <c r="F61" s="102">
        <f>VLOOKUP(27,$A$4:$AX$32,6,FALSE)</f>
        <v>2042</v>
      </c>
      <c r="G61" s="102">
        <f>VLOOKUP(27,$A$4:$AX$32,7,FALSE)</f>
        <v>2096</v>
      </c>
      <c r="H61" s="102">
        <f>VLOOKUP(27,$A$4:$AX$32,8,FALSE)</f>
        <v>2081</v>
      </c>
      <c r="I61" s="102">
        <f>VLOOKUP(27,$A$4:$AX$32,9,FALSE)</f>
        <v>1971</v>
      </c>
      <c r="J61" s="102">
        <f>VLOOKUP(27,$A$4:$AX$32,10,FALSE)</f>
        <v>1738</v>
      </c>
      <c r="K61" s="102">
        <f>VLOOKUP(27,$A$4:$AX$32,11,FALSE)</f>
        <v>2331</v>
      </c>
      <c r="L61" s="102">
        <f>VLOOKUP(27,$A$4:$AX$32,12,FALSE)</f>
        <v>1986</v>
      </c>
      <c r="M61" s="102">
        <f>VLOOKUP(27,$A$4:$AX$32,13,FALSE)</f>
        <v>2114</v>
      </c>
      <c r="N61" s="102">
        <f>VLOOKUP(27,$A$4:$AX$32,14,FALSE)</f>
        <v>2065</v>
      </c>
      <c r="O61" s="102">
        <f>VLOOKUP(27,$A$4:$AX$32,15,FALSE)</f>
        <v>1985</v>
      </c>
      <c r="P61" s="102">
        <f>VLOOKUP(27,$A$4:$AX$32,16,FALSE)</f>
        <v>2021</v>
      </c>
      <c r="Q61" s="102">
        <f>VLOOKUP(27,$A$4:$AX$32,17,FALSE)</f>
        <v>2025</v>
      </c>
      <c r="R61" s="102">
        <f>VLOOKUP(27,$A$4:$AX$32,18,FALSE)</f>
        <v>2035</v>
      </c>
      <c r="S61" s="102">
        <f>VLOOKUP(27,$A$4:$AX$32,19,FALSE)</f>
        <v>2055</v>
      </c>
      <c r="T61" s="102">
        <f>VLOOKUP(27,$A$4:$AX$32,20,FALSE)</f>
        <v>2159</v>
      </c>
      <c r="U61" s="102">
        <f>VLOOKUP(27,$A$4:$AX$32,21,FALSE)</f>
        <v>2039</v>
      </c>
      <c r="V61" s="102">
        <f>VLOOKUP(27,$A$4:$AX$32,22,FALSE)</f>
        <v>1925</v>
      </c>
      <c r="W61" s="102">
        <f>VLOOKUP(27,$A$4:$AX$32,23,FALSE)</f>
        <v>2142</v>
      </c>
      <c r="X61" s="102">
        <f>VLOOKUP(27,$A$4:$AX$32,24,FALSE)</f>
        <v>1808</v>
      </c>
      <c r="Y61" s="102">
        <f>VLOOKUP(27,$A$4:$AX$32,25,FALSE)</f>
        <v>2053</v>
      </c>
      <c r="Z61" s="102">
        <f>VLOOKUP(27,$A$4:$AX$32,26,FALSE)</f>
        <v>1930</v>
      </c>
      <c r="AA61" s="102">
        <f>VLOOKUP(27,$A$4:$AX$32,27,FALSE)</f>
        <v>1728</v>
      </c>
      <c r="AB61" s="102">
        <f>VLOOKUP(27,$A$4:$AX$32,28,FALSE)</f>
        <v>1856</v>
      </c>
      <c r="AC61" s="102">
        <f>VLOOKUP(27,$A$4:$AX$32,29,FALSE)</f>
        <v>1681</v>
      </c>
      <c r="AD61" s="102">
        <f>VLOOKUP(27,$A$4:$AX$32,30,FALSE)</f>
        <v>1843</v>
      </c>
      <c r="AE61" s="102">
        <f>VLOOKUP(27,$A$4:$AX$32,31,FALSE)</f>
        <v>1703</v>
      </c>
      <c r="AF61" s="102">
        <f>VLOOKUP(27,$A$4:$AX$32,32,FALSE)</f>
        <v>1571</v>
      </c>
      <c r="AG61" s="102">
        <f>VLOOKUP(27,$A$4:$AX$32,33,FALSE)</f>
        <v>1734</v>
      </c>
    </row>
    <row r="62" spans="1:33" ht="25.5">
      <c r="A62">
        <v>28</v>
      </c>
      <c r="B62" s="77" t="s">
        <v>70</v>
      </c>
      <c r="C62" s="102">
        <f>VLOOKUP(28,$A$4:$AX$32,3,FALSE)</f>
        <v>543</v>
      </c>
      <c r="D62" s="102">
        <f>VLOOKUP(28,$A$4:$AX$32,4,FALSE)</f>
        <v>529</v>
      </c>
      <c r="E62" s="102">
        <f>VLOOKUP(28,$A$4:$AX$32,5,FALSE)</f>
        <v>538</v>
      </c>
      <c r="F62" s="102">
        <f>VLOOKUP(28,$A$4:$AX$32,6,FALSE)</f>
        <v>538</v>
      </c>
      <c r="G62" s="102">
        <f>VLOOKUP(28,$A$4:$AX$32,7,FALSE)</f>
        <v>547</v>
      </c>
      <c r="H62" s="102">
        <f>VLOOKUP(28,$A$4:$AX$32,8,FALSE)</f>
        <v>545</v>
      </c>
      <c r="I62" s="102">
        <f>VLOOKUP(28,$A$4:$AX$32,9,FALSE)</f>
        <v>491</v>
      </c>
      <c r="J62" s="102">
        <f>VLOOKUP(28,$A$4:$AX$32,10,FALSE)</f>
        <v>456</v>
      </c>
      <c r="K62" s="102">
        <f>VLOOKUP(28,$A$4:$AX$32,11,FALSE)</f>
        <v>586</v>
      </c>
      <c r="L62" s="102">
        <f>VLOOKUP(28,$A$4:$AX$32,12,FALSE)</f>
        <v>515</v>
      </c>
      <c r="M62" s="102">
        <f>VLOOKUP(28,$A$4:$AX$32,13,FALSE)</f>
        <v>526</v>
      </c>
      <c r="N62" s="102">
        <f>VLOOKUP(28,$A$4:$AX$32,14,FALSE)</f>
        <v>502</v>
      </c>
      <c r="O62" s="102">
        <f>VLOOKUP(28,$A$4:$AX$32,15,FALSE)</f>
        <v>481</v>
      </c>
      <c r="P62" s="102">
        <f>VLOOKUP(28,$A$4:$AX$32,16,FALSE)</f>
        <v>496</v>
      </c>
      <c r="Q62" s="102">
        <f>VLOOKUP(28,$A$4:$AX$32,17,FALSE)</f>
        <v>497</v>
      </c>
      <c r="R62" s="102">
        <f>VLOOKUP(28,$A$4:$AX$32,18,FALSE)</f>
        <v>520</v>
      </c>
      <c r="S62" s="102">
        <f>VLOOKUP(28,$A$4:$AX$32,19,FALSE)</f>
        <v>475</v>
      </c>
      <c r="T62" s="102">
        <f>VLOOKUP(28,$A$4:$AX$32,20,FALSE)</f>
        <v>522</v>
      </c>
      <c r="U62" s="102">
        <f>VLOOKUP(28,$A$4:$AX$32,21,FALSE)</f>
        <v>474</v>
      </c>
      <c r="V62" s="102">
        <f>VLOOKUP(28,$A$4:$AX$32,22,FALSE)</f>
        <v>469</v>
      </c>
      <c r="W62" s="102">
        <f>VLOOKUP(28,$A$4:$AX$32,23,FALSE)</f>
        <v>511</v>
      </c>
      <c r="X62" s="102">
        <f>VLOOKUP(28,$A$4:$AX$32,24,FALSE)</f>
        <v>418</v>
      </c>
      <c r="Y62" s="102">
        <f>VLOOKUP(28,$A$4:$AX$32,25,FALSE)</f>
        <v>487</v>
      </c>
      <c r="Z62" s="102">
        <f>VLOOKUP(28,$A$4:$AX$32,26,FALSE)</f>
        <v>440</v>
      </c>
      <c r="AA62" s="102">
        <f>VLOOKUP(28,$A$4:$AX$32,27,FALSE)</f>
        <v>451</v>
      </c>
      <c r="AB62" s="102">
        <f>VLOOKUP(28,$A$4:$AX$32,28,FALSE)</f>
        <v>467</v>
      </c>
      <c r="AC62" s="102">
        <f>VLOOKUP(28,$A$4:$AX$32,29,FALSE)</f>
        <v>417</v>
      </c>
      <c r="AD62" s="102">
        <f>VLOOKUP(28,$A$4:$AX$32,30,FALSE)</f>
        <v>460</v>
      </c>
      <c r="AE62" s="102">
        <f>VLOOKUP(28,$A$4:$AX$32,31,FALSE)</f>
        <v>435</v>
      </c>
      <c r="AF62" s="102">
        <f>VLOOKUP(28,$A$4:$AX$32,32,FALSE)</f>
        <v>379</v>
      </c>
      <c r="AG62" s="102">
        <f>VLOOKUP(28,$A$4:$AX$32,33,FALSE)</f>
        <v>464</v>
      </c>
    </row>
    <row r="63" spans="1:33" ht="12.75">
      <c r="A63">
        <v>29</v>
      </c>
      <c r="B63" s="77" t="s">
        <v>71</v>
      </c>
      <c r="C63" s="102">
        <f>VLOOKUP(29,$A$4:$AX$32,3,FALSE)</f>
        <v>0</v>
      </c>
      <c r="D63" s="102">
        <f>VLOOKUP(29,$A$4:$AX$32,4,FALSE)</f>
        <v>0</v>
      </c>
      <c r="E63" s="102">
        <f>VLOOKUP(29,$A$4:$AX$32,5,FALSE)</f>
        <v>0</v>
      </c>
      <c r="F63" s="102">
        <f>VLOOKUP(29,$A$4:$AX$32,6,FALSE)</f>
        <v>0</v>
      </c>
      <c r="G63" s="102">
        <f>VLOOKUP(29,$A$4:$AX$32,7,FALSE)</f>
        <v>0</v>
      </c>
      <c r="H63" s="102">
        <f>VLOOKUP(29,$A$4:$AX$32,8,FALSE)</f>
        <v>0</v>
      </c>
      <c r="I63" s="102">
        <f>VLOOKUP(29,$A$4:$AX$32,9,FALSE)</f>
        <v>0</v>
      </c>
      <c r="J63" s="102">
        <f>VLOOKUP(29,$A$4:$AX$32,10,FALSE)</f>
        <v>0</v>
      </c>
      <c r="K63" s="102">
        <f>VLOOKUP(29,$A$4:$AX$32,11,FALSE)</f>
        <v>0</v>
      </c>
      <c r="L63" s="102">
        <f>VLOOKUP(29,$A$4:$AX$32,12,FALSE)</f>
        <v>0</v>
      </c>
      <c r="M63" s="102">
        <f>VLOOKUP(29,$A$4:$AX$32,13,FALSE)</f>
        <v>0</v>
      </c>
      <c r="N63" s="102">
        <f>VLOOKUP(29,$A$4:$AX$32,14,FALSE)</f>
        <v>0</v>
      </c>
      <c r="O63" s="102">
        <f>VLOOKUP(29,$A$4:$AX$32,15,FALSE)</f>
        <v>0</v>
      </c>
      <c r="P63" s="102">
        <f>VLOOKUP(29,$A$4:$AX$32,16,FALSE)</f>
        <v>0</v>
      </c>
      <c r="Q63" s="102">
        <f>VLOOKUP(29,$A$4:$AX$32,17,FALSE)</f>
        <v>0</v>
      </c>
      <c r="R63" s="102">
        <f>VLOOKUP(29,$A$4:$AX$32,18,FALSE)</f>
        <v>0</v>
      </c>
      <c r="S63" s="102">
        <f>VLOOKUP(29,$A$4:$AX$32,19,FALSE)</f>
        <v>0</v>
      </c>
      <c r="T63" s="102">
        <f>VLOOKUP(29,$A$4:$AX$32,20,FALSE)</f>
        <v>0</v>
      </c>
      <c r="U63" s="102">
        <f>VLOOKUP(29,$A$4:$AX$32,21,FALSE)</f>
        <v>0</v>
      </c>
      <c r="V63" s="102">
        <f>VLOOKUP(29,$A$4:$AX$32,22,FALSE)</f>
        <v>0</v>
      </c>
      <c r="W63" s="102">
        <f>VLOOKUP(29,$A$4:$AX$32,23,FALSE)</f>
        <v>0</v>
      </c>
      <c r="X63" s="102">
        <f>VLOOKUP(29,$A$4:$AX$32,24,FALSE)</f>
        <v>0</v>
      </c>
      <c r="Y63" s="102">
        <f>VLOOKUP(29,$A$4:$AX$32,25,FALSE)</f>
        <v>0</v>
      </c>
      <c r="Z63" s="102">
        <f>VLOOKUP(29,$A$4:$AX$32,26,FALSE)</f>
        <v>0</v>
      </c>
      <c r="AA63" s="102">
        <f>VLOOKUP(29,$A$4:$AX$32,27,FALSE)</f>
        <v>0</v>
      </c>
      <c r="AB63" s="102">
        <f>VLOOKUP(29,$A$4:$AX$32,28,FALSE)</f>
        <v>0</v>
      </c>
      <c r="AC63" s="102">
        <f>VLOOKUP(29,$A$4:$AX$32,29,FALSE)</f>
        <v>0</v>
      </c>
      <c r="AD63" s="102">
        <f>VLOOKUP(29,$A$4:$AX$32,30,FALSE)</f>
        <v>0</v>
      </c>
      <c r="AE63" s="102">
        <f>VLOOKUP(29,$A$4:$AX$32,31,FALSE)</f>
        <v>0</v>
      </c>
      <c r="AF63" s="102">
        <f>VLOOKUP(29,$A$4:$AX$32,32,FALSE)</f>
        <v>0</v>
      </c>
      <c r="AG63" s="102">
        <f>VLOOKUP(29,$A$4:$AX$32,33,FALSE)</f>
        <v>15</v>
      </c>
    </row>
    <row r="64" spans="2:24" ht="12.75">
      <c r="B64" s="44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2:33" ht="13.5" thickBot="1">
      <c r="B65" s="9" t="s">
        <v>0</v>
      </c>
      <c r="C65" s="12">
        <v>38169</v>
      </c>
      <c r="D65" s="12">
        <v>38200</v>
      </c>
      <c r="E65" s="12">
        <v>38231</v>
      </c>
      <c r="F65" s="12">
        <v>38261</v>
      </c>
      <c r="G65" s="12">
        <v>38292</v>
      </c>
      <c r="H65" s="12">
        <v>38322</v>
      </c>
      <c r="I65" s="12">
        <v>38353</v>
      </c>
      <c r="J65" s="12">
        <v>38384</v>
      </c>
      <c r="K65" s="12">
        <v>38412</v>
      </c>
      <c r="L65" s="12">
        <v>38443</v>
      </c>
      <c r="M65" s="12">
        <v>38473</v>
      </c>
      <c r="N65" s="12">
        <v>38504</v>
      </c>
      <c r="O65" s="12">
        <v>38534</v>
      </c>
      <c r="P65" s="12">
        <v>38565</v>
      </c>
      <c r="Q65" s="12">
        <v>38596</v>
      </c>
      <c r="R65" s="12">
        <v>38626</v>
      </c>
      <c r="S65" s="12">
        <v>38657</v>
      </c>
      <c r="T65" s="12">
        <v>38687</v>
      </c>
      <c r="U65" s="12">
        <v>38718</v>
      </c>
      <c r="V65" s="12">
        <v>38749</v>
      </c>
      <c r="W65" s="12">
        <v>38777</v>
      </c>
      <c r="X65" s="12">
        <v>38808</v>
      </c>
      <c r="Y65" s="12">
        <v>38838</v>
      </c>
      <c r="Z65" s="12">
        <v>38869</v>
      </c>
      <c r="AA65" s="12">
        <v>38899</v>
      </c>
      <c r="AB65" s="12">
        <v>38930</v>
      </c>
      <c r="AC65" s="12">
        <v>38961</v>
      </c>
      <c r="AD65" s="12">
        <v>38991</v>
      </c>
      <c r="AE65" s="12">
        <v>39022</v>
      </c>
      <c r="AF65" s="12">
        <v>39052</v>
      </c>
      <c r="AG65" s="12">
        <v>39083</v>
      </c>
    </row>
    <row r="66" spans="2:33" ht="13.5" thickTop="1">
      <c r="B66" s="97" t="s">
        <v>1</v>
      </c>
      <c r="C66" s="98">
        <f aca="true" t="shared" si="0" ref="C66:AG73">IF(ISERROR(C35),0,C35)</f>
        <v>0</v>
      </c>
      <c r="D66" s="98">
        <f t="shared" si="0"/>
        <v>0</v>
      </c>
      <c r="E66" s="98">
        <f t="shared" si="0"/>
        <v>0</v>
      </c>
      <c r="F66" s="98">
        <f t="shared" si="0"/>
        <v>0</v>
      </c>
      <c r="G66" s="98">
        <f t="shared" si="0"/>
        <v>0</v>
      </c>
      <c r="H66" s="98">
        <f t="shared" si="0"/>
        <v>0</v>
      </c>
      <c r="I66" s="98">
        <f t="shared" si="0"/>
        <v>0</v>
      </c>
      <c r="J66" s="98">
        <f t="shared" si="0"/>
        <v>0</v>
      </c>
      <c r="K66" s="98">
        <f t="shared" si="0"/>
        <v>0</v>
      </c>
      <c r="L66" s="98">
        <f t="shared" si="0"/>
        <v>0</v>
      </c>
      <c r="M66" s="98">
        <f t="shared" si="0"/>
        <v>0</v>
      </c>
      <c r="N66" s="98">
        <f t="shared" si="0"/>
        <v>0</v>
      </c>
      <c r="O66" s="98">
        <f t="shared" si="0"/>
        <v>0</v>
      </c>
      <c r="P66" s="98">
        <f t="shared" si="0"/>
        <v>0</v>
      </c>
      <c r="Q66" s="98">
        <f t="shared" si="0"/>
        <v>0</v>
      </c>
      <c r="R66" s="98">
        <f t="shared" si="0"/>
        <v>0</v>
      </c>
      <c r="S66" s="98">
        <f t="shared" si="0"/>
        <v>0</v>
      </c>
      <c r="T66" s="98">
        <f t="shared" si="0"/>
        <v>2</v>
      </c>
      <c r="U66" s="98">
        <f t="shared" si="0"/>
        <v>13</v>
      </c>
      <c r="V66" s="98">
        <f t="shared" si="0"/>
        <v>16</v>
      </c>
      <c r="W66" s="98">
        <f t="shared" si="0"/>
        <v>19</v>
      </c>
      <c r="X66" s="98">
        <f t="shared" si="0"/>
        <v>37</v>
      </c>
      <c r="Y66" s="98">
        <f t="shared" si="0"/>
        <v>41</v>
      </c>
      <c r="Z66" s="98">
        <f t="shared" si="0"/>
        <v>48</v>
      </c>
      <c r="AA66" s="98">
        <f t="shared" si="0"/>
        <v>43</v>
      </c>
      <c r="AB66" s="98">
        <f t="shared" si="0"/>
        <v>54</v>
      </c>
      <c r="AC66" s="98">
        <f t="shared" si="0"/>
        <v>52</v>
      </c>
      <c r="AD66" s="98">
        <f t="shared" si="0"/>
        <v>67</v>
      </c>
      <c r="AE66" s="98">
        <f t="shared" si="0"/>
        <v>70</v>
      </c>
      <c r="AF66" s="98">
        <f t="shared" si="0"/>
        <v>55</v>
      </c>
      <c r="AG66" s="98">
        <f t="shared" si="0"/>
        <v>59</v>
      </c>
    </row>
    <row r="67" spans="2:33" ht="12.75">
      <c r="B67" s="99" t="s">
        <v>2</v>
      </c>
      <c r="C67" s="98">
        <f t="shared" si="0"/>
        <v>4168</v>
      </c>
      <c r="D67" s="98">
        <f t="shared" si="0"/>
        <v>3998</v>
      </c>
      <c r="E67" s="98">
        <f t="shared" si="0"/>
        <v>4140</v>
      </c>
      <c r="F67" s="98">
        <f t="shared" si="0"/>
        <v>3999</v>
      </c>
      <c r="G67" s="98">
        <f t="shared" si="0"/>
        <v>4198</v>
      </c>
      <c r="H67" s="98">
        <f t="shared" si="0"/>
        <v>4179</v>
      </c>
      <c r="I67" s="98">
        <f t="shared" si="0"/>
        <v>3968</v>
      </c>
      <c r="J67" s="98">
        <f t="shared" si="0"/>
        <v>3452</v>
      </c>
      <c r="K67" s="98">
        <f t="shared" si="0"/>
        <v>4621</v>
      </c>
      <c r="L67" s="98">
        <f t="shared" si="0"/>
        <v>3905</v>
      </c>
      <c r="M67" s="98">
        <f t="shared" si="0"/>
        <v>4117</v>
      </c>
      <c r="N67" s="98">
        <f t="shared" si="0"/>
        <v>4043</v>
      </c>
      <c r="O67" s="98">
        <f t="shared" si="0"/>
        <v>3909</v>
      </c>
      <c r="P67" s="98">
        <f t="shared" si="0"/>
        <v>4062</v>
      </c>
      <c r="Q67" s="98">
        <f t="shared" si="0"/>
        <v>3924</v>
      </c>
      <c r="R67" s="98">
        <f t="shared" si="0"/>
        <v>3932</v>
      </c>
      <c r="S67" s="98">
        <f t="shared" si="0"/>
        <v>4035</v>
      </c>
      <c r="T67" s="98">
        <f t="shared" si="0"/>
        <v>4074</v>
      </c>
      <c r="U67" s="98">
        <f t="shared" si="0"/>
        <v>3940</v>
      </c>
      <c r="V67" s="98">
        <f t="shared" si="0"/>
        <v>3792</v>
      </c>
      <c r="W67" s="98">
        <f t="shared" si="0"/>
        <v>4179</v>
      </c>
      <c r="X67" s="98">
        <f t="shared" si="0"/>
        <v>3550</v>
      </c>
      <c r="Y67" s="98">
        <f t="shared" si="0"/>
        <v>4135</v>
      </c>
      <c r="Z67" s="98">
        <f t="shared" si="0"/>
        <v>3977</v>
      </c>
      <c r="AA67" s="98">
        <f t="shared" si="0"/>
        <v>3653</v>
      </c>
      <c r="AB67" s="98">
        <f t="shared" si="0"/>
        <v>3920</v>
      </c>
      <c r="AC67" s="98">
        <f t="shared" si="0"/>
        <v>3640</v>
      </c>
      <c r="AD67" s="98">
        <f t="shared" si="0"/>
        <v>3989</v>
      </c>
      <c r="AE67" s="98">
        <f t="shared" si="0"/>
        <v>3736</v>
      </c>
      <c r="AF67" s="98">
        <f t="shared" si="0"/>
        <v>3615</v>
      </c>
      <c r="AG67" s="98">
        <f t="shared" si="0"/>
        <v>4045</v>
      </c>
    </row>
    <row r="68" spans="2:33" ht="12.75">
      <c r="B68" s="99" t="s">
        <v>3</v>
      </c>
      <c r="C68" s="98">
        <f t="shared" si="0"/>
        <v>653</v>
      </c>
      <c r="D68" s="98">
        <f t="shared" si="0"/>
        <v>624</v>
      </c>
      <c r="E68" s="98">
        <f t="shared" si="0"/>
        <v>658</v>
      </c>
      <c r="F68" s="98">
        <f t="shared" si="0"/>
        <v>640</v>
      </c>
      <c r="G68" s="98">
        <f t="shared" si="0"/>
        <v>678</v>
      </c>
      <c r="H68" s="98">
        <f t="shared" si="0"/>
        <v>729</v>
      </c>
      <c r="I68" s="98">
        <f t="shared" si="0"/>
        <v>686</v>
      </c>
      <c r="J68" s="98">
        <f t="shared" si="0"/>
        <v>631</v>
      </c>
      <c r="K68" s="98">
        <f t="shared" si="0"/>
        <v>811</v>
      </c>
      <c r="L68" s="98">
        <f t="shared" si="0"/>
        <v>710</v>
      </c>
      <c r="M68" s="98">
        <f t="shared" si="0"/>
        <v>802</v>
      </c>
      <c r="N68" s="98">
        <f t="shared" si="0"/>
        <v>748</v>
      </c>
      <c r="O68" s="98">
        <f t="shared" si="0"/>
        <v>741</v>
      </c>
      <c r="P68" s="98">
        <f t="shared" si="0"/>
        <v>790</v>
      </c>
      <c r="Q68" s="98">
        <f t="shared" si="0"/>
        <v>765</v>
      </c>
      <c r="R68" s="98">
        <f t="shared" si="0"/>
        <v>746</v>
      </c>
      <c r="S68" s="98">
        <f t="shared" si="0"/>
        <v>797</v>
      </c>
      <c r="T68" s="98">
        <f t="shared" si="0"/>
        <v>792</v>
      </c>
      <c r="U68" s="98">
        <f t="shared" si="0"/>
        <v>733</v>
      </c>
      <c r="V68" s="98">
        <f t="shared" si="0"/>
        <v>736</v>
      </c>
      <c r="W68" s="98">
        <f t="shared" si="0"/>
        <v>817</v>
      </c>
      <c r="X68" s="98">
        <f t="shared" si="0"/>
        <v>688</v>
      </c>
      <c r="Y68" s="98">
        <f t="shared" si="0"/>
        <v>785</v>
      </c>
      <c r="Z68" s="98">
        <f t="shared" si="0"/>
        <v>751</v>
      </c>
      <c r="AA68" s="98">
        <f t="shared" si="0"/>
        <v>690</v>
      </c>
      <c r="AB68" s="98">
        <f t="shared" si="0"/>
        <v>725</v>
      </c>
      <c r="AC68" s="98">
        <f t="shared" si="0"/>
        <v>682</v>
      </c>
      <c r="AD68" s="98">
        <f t="shared" si="0"/>
        <v>741</v>
      </c>
      <c r="AE68" s="98">
        <f t="shared" si="0"/>
        <v>710</v>
      </c>
      <c r="AF68" s="98">
        <f t="shared" si="0"/>
        <v>656</v>
      </c>
      <c r="AG68" s="98">
        <f t="shared" si="0"/>
        <v>765</v>
      </c>
    </row>
    <row r="69" spans="2:33" ht="12.75">
      <c r="B69" s="99" t="s">
        <v>42</v>
      </c>
      <c r="C69" s="98">
        <f t="shared" si="0"/>
        <v>0</v>
      </c>
      <c r="D69" s="98">
        <f t="shared" si="0"/>
        <v>0</v>
      </c>
      <c r="E69" s="98">
        <f t="shared" si="0"/>
        <v>0</v>
      </c>
      <c r="F69" s="98">
        <f t="shared" si="0"/>
        <v>0</v>
      </c>
      <c r="G69" s="98">
        <f t="shared" si="0"/>
        <v>0</v>
      </c>
      <c r="H69" s="98">
        <f t="shared" si="0"/>
        <v>0</v>
      </c>
      <c r="I69" s="98">
        <f t="shared" si="0"/>
        <v>0</v>
      </c>
      <c r="J69" s="98">
        <f t="shared" si="0"/>
        <v>0</v>
      </c>
      <c r="K69" s="98">
        <f t="shared" si="0"/>
        <v>0</v>
      </c>
      <c r="L69" s="98">
        <f t="shared" si="0"/>
        <v>0</v>
      </c>
      <c r="M69" s="98">
        <f t="shared" si="0"/>
        <v>0</v>
      </c>
      <c r="N69" s="98">
        <f t="shared" si="0"/>
        <v>0</v>
      </c>
      <c r="O69" s="98">
        <f t="shared" si="0"/>
        <v>0</v>
      </c>
      <c r="P69" s="98">
        <f t="shared" si="0"/>
        <v>0</v>
      </c>
      <c r="Q69" s="98">
        <f t="shared" si="0"/>
        <v>0</v>
      </c>
      <c r="R69" s="98">
        <f t="shared" si="0"/>
        <v>0</v>
      </c>
      <c r="S69" s="98">
        <f t="shared" si="0"/>
        <v>0</v>
      </c>
      <c r="T69" s="98">
        <f t="shared" si="0"/>
        <v>0</v>
      </c>
      <c r="U69" s="98">
        <f t="shared" si="0"/>
        <v>0</v>
      </c>
      <c r="V69" s="98">
        <f t="shared" si="0"/>
        <v>0</v>
      </c>
      <c r="W69" s="98">
        <f t="shared" si="0"/>
        <v>0</v>
      </c>
      <c r="X69" s="98">
        <f t="shared" si="0"/>
        <v>0</v>
      </c>
      <c r="Y69" s="98">
        <f t="shared" si="0"/>
        <v>0</v>
      </c>
      <c r="Z69" s="98">
        <f t="shared" si="0"/>
        <v>0</v>
      </c>
      <c r="AA69" s="98">
        <f t="shared" si="0"/>
        <v>0</v>
      </c>
      <c r="AB69" s="98">
        <f t="shared" si="0"/>
        <v>0</v>
      </c>
      <c r="AC69" s="98">
        <f t="shared" si="0"/>
        <v>0</v>
      </c>
      <c r="AD69" s="98">
        <f t="shared" si="0"/>
        <v>5</v>
      </c>
      <c r="AE69" s="98">
        <f t="shared" si="0"/>
        <v>8</v>
      </c>
      <c r="AF69" s="98">
        <f t="shared" si="0"/>
        <v>14</v>
      </c>
      <c r="AG69" s="98">
        <f t="shared" si="0"/>
        <v>24</v>
      </c>
    </row>
    <row r="70" spans="2:33" ht="12.75">
      <c r="B70" s="99" t="s">
        <v>4</v>
      </c>
      <c r="C70" s="98">
        <f t="shared" si="0"/>
        <v>4708</v>
      </c>
      <c r="D70" s="98">
        <f t="shared" si="0"/>
        <v>4501</v>
      </c>
      <c r="E70" s="98">
        <f t="shared" si="0"/>
        <v>4706</v>
      </c>
      <c r="F70" s="98">
        <f t="shared" si="0"/>
        <v>4542</v>
      </c>
      <c r="G70" s="98">
        <f t="shared" si="0"/>
        <v>4828</v>
      </c>
      <c r="H70" s="98">
        <f t="shared" si="0"/>
        <v>4811</v>
      </c>
      <c r="I70" s="98">
        <f t="shared" si="0"/>
        <v>4497</v>
      </c>
      <c r="J70" s="98">
        <f t="shared" si="0"/>
        <v>4071</v>
      </c>
      <c r="K70" s="98">
        <f t="shared" si="0"/>
        <v>5257</v>
      </c>
      <c r="L70" s="98">
        <f t="shared" si="0"/>
        <v>4551</v>
      </c>
      <c r="M70" s="98">
        <f t="shared" si="0"/>
        <v>4831</v>
      </c>
      <c r="N70" s="98">
        <f t="shared" si="0"/>
        <v>4617</v>
      </c>
      <c r="O70" s="98">
        <f t="shared" si="0"/>
        <v>4451</v>
      </c>
      <c r="P70" s="98">
        <f t="shared" si="0"/>
        <v>4560</v>
      </c>
      <c r="Q70" s="98">
        <f t="shared" si="0"/>
        <v>4390</v>
      </c>
      <c r="R70" s="98">
        <f t="shared" si="0"/>
        <v>4315</v>
      </c>
      <c r="S70" s="98">
        <f t="shared" si="0"/>
        <v>4435</v>
      </c>
      <c r="T70" s="98">
        <f t="shared" si="0"/>
        <v>4452</v>
      </c>
      <c r="U70" s="98">
        <f t="shared" si="0"/>
        <v>4212</v>
      </c>
      <c r="V70" s="98">
        <f t="shared" si="0"/>
        <v>4076</v>
      </c>
      <c r="W70" s="98">
        <f t="shared" si="0"/>
        <v>4367</v>
      </c>
      <c r="X70" s="98">
        <f t="shared" si="0"/>
        <v>3888</v>
      </c>
      <c r="Y70" s="98">
        <f t="shared" si="0"/>
        <v>4391</v>
      </c>
      <c r="Z70" s="98">
        <f t="shared" si="0"/>
        <v>4201</v>
      </c>
      <c r="AA70" s="98">
        <f t="shared" si="0"/>
        <v>3913</v>
      </c>
      <c r="AB70" s="98">
        <f t="shared" si="0"/>
        <v>4102</v>
      </c>
      <c r="AC70" s="98">
        <f t="shared" si="0"/>
        <v>3720</v>
      </c>
      <c r="AD70" s="98">
        <f t="shared" si="0"/>
        <v>4121</v>
      </c>
      <c r="AE70" s="98">
        <f t="shared" si="0"/>
        <v>3892</v>
      </c>
      <c r="AF70" s="98">
        <f t="shared" si="0"/>
        <v>3669</v>
      </c>
      <c r="AG70" s="98">
        <f t="shared" si="0"/>
        <v>4202</v>
      </c>
    </row>
    <row r="71" spans="2:33" ht="12.75">
      <c r="B71" s="99" t="s">
        <v>5</v>
      </c>
      <c r="C71" s="98">
        <f t="shared" si="0"/>
        <v>1674</v>
      </c>
      <c r="D71" s="98">
        <f t="shared" si="0"/>
        <v>1606</v>
      </c>
      <c r="E71" s="98">
        <f t="shared" si="0"/>
        <v>1730</v>
      </c>
      <c r="F71" s="98">
        <f t="shared" si="0"/>
        <v>1662</v>
      </c>
      <c r="G71" s="98">
        <f t="shared" si="0"/>
        <v>1740</v>
      </c>
      <c r="H71" s="98">
        <f t="shared" si="0"/>
        <v>1757</v>
      </c>
      <c r="I71" s="98">
        <f t="shared" si="0"/>
        <v>1714</v>
      </c>
      <c r="J71" s="98">
        <f t="shared" si="0"/>
        <v>1522</v>
      </c>
      <c r="K71" s="98">
        <f t="shared" si="0"/>
        <v>2020</v>
      </c>
      <c r="L71" s="98">
        <f t="shared" si="0"/>
        <v>1733</v>
      </c>
      <c r="M71" s="98">
        <f t="shared" si="0"/>
        <v>1812</v>
      </c>
      <c r="N71" s="98">
        <f t="shared" si="0"/>
        <v>1701</v>
      </c>
      <c r="O71" s="98">
        <f t="shared" si="0"/>
        <v>1697</v>
      </c>
      <c r="P71" s="98">
        <f t="shared" si="0"/>
        <v>1679</v>
      </c>
      <c r="Q71" s="98">
        <f t="shared" si="0"/>
        <v>1693</v>
      </c>
      <c r="R71" s="98">
        <f t="shared" si="0"/>
        <v>1688</v>
      </c>
      <c r="S71" s="98">
        <f t="shared" si="0"/>
        <v>1688</v>
      </c>
      <c r="T71" s="98">
        <f t="shared" si="0"/>
        <v>1688</v>
      </c>
      <c r="U71" s="98">
        <f t="shared" si="0"/>
        <v>1604</v>
      </c>
      <c r="V71" s="98">
        <f t="shared" si="0"/>
        <v>1570</v>
      </c>
      <c r="W71" s="98">
        <f t="shared" si="0"/>
        <v>1730</v>
      </c>
      <c r="X71" s="98">
        <f t="shared" si="0"/>
        <v>1531</v>
      </c>
      <c r="Y71" s="98">
        <f t="shared" si="0"/>
        <v>1750</v>
      </c>
      <c r="Z71" s="98">
        <f t="shared" si="0"/>
        <v>1668</v>
      </c>
      <c r="AA71" s="98">
        <f t="shared" si="0"/>
        <v>1464</v>
      </c>
      <c r="AB71" s="98">
        <f t="shared" si="0"/>
        <v>1601</v>
      </c>
      <c r="AC71" s="98">
        <f t="shared" si="0"/>
        <v>1439</v>
      </c>
      <c r="AD71" s="98">
        <f t="shared" si="0"/>
        <v>1601</v>
      </c>
      <c r="AE71" s="98">
        <f t="shared" si="0"/>
        <v>1536</v>
      </c>
      <c r="AF71" s="98">
        <f t="shared" si="0"/>
        <v>1412</v>
      </c>
      <c r="AG71" s="98">
        <f t="shared" si="0"/>
        <v>1579</v>
      </c>
    </row>
    <row r="72" spans="2:33" ht="12.75">
      <c r="B72" s="99" t="s">
        <v>38</v>
      </c>
      <c r="C72" s="98">
        <f t="shared" si="0"/>
        <v>0</v>
      </c>
      <c r="D72" s="98">
        <f t="shared" si="0"/>
        <v>0</v>
      </c>
      <c r="E72" s="98">
        <f t="shared" si="0"/>
        <v>0</v>
      </c>
      <c r="F72" s="98">
        <f t="shared" si="0"/>
        <v>0</v>
      </c>
      <c r="G72" s="98">
        <f t="shared" si="0"/>
        <v>0</v>
      </c>
      <c r="H72" s="98">
        <f t="shared" si="0"/>
        <v>0</v>
      </c>
      <c r="I72" s="98">
        <f t="shared" si="0"/>
        <v>0</v>
      </c>
      <c r="J72" s="98">
        <f t="shared" si="0"/>
        <v>0</v>
      </c>
      <c r="K72" s="98">
        <f t="shared" si="0"/>
        <v>0</v>
      </c>
      <c r="L72" s="98">
        <f t="shared" si="0"/>
        <v>0</v>
      </c>
      <c r="M72" s="98">
        <f t="shared" si="0"/>
        <v>0</v>
      </c>
      <c r="N72" s="98">
        <f t="shared" si="0"/>
        <v>0</v>
      </c>
      <c r="O72" s="98">
        <f t="shared" si="0"/>
        <v>0</v>
      </c>
      <c r="P72" s="98">
        <f t="shared" si="0"/>
        <v>0</v>
      </c>
      <c r="Q72" s="98">
        <f t="shared" si="0"/>
        <v>0</v>
      </c>
      <c r="R72" s="98">
        <f t="shared" si="0"/>
        <v>0</v>
      </c>
      <c r="S72" s="98">
        <f t="shared" si="0"/>
        <v>0</v>
      </c>
      <c r="T72" s="98">
        <f t="shared" si="0"/>
        <v>0</v>
      </c>
      <c r="U72" s="98">
        <f t="shared" si="0"/>
        <v>0</v>
      </c>
      <c r="V72" s="98">
        <f t="shared" si="0"/>
        <v>0</v>
      </c>
      <c r="W72" s="98">
        <f t="shared" si="0"/>
        <v>0</v>
      </c>
      <c r="X72" s="98">
        <f t="shared" si="0"/>
        <v>0</v>
      </c>
      <c r="Y72" s="98">
        <f t="shared" si="0"/>
        <v>0</v>
      </c>
      <c r="Z72" s="98">
        <f t="shared" si="0"/>
        <v>42</v>
      </c>
      <c r="AA72" s="98">
        <f t="shared" si="0"/>
        <v>94</v>
      </c>
      <c r="AB72" s="98">
        <f t="shared" si="0"/>
        <v>115</v>
      </c>
      <c r="AC72" s="98">
        <f t="shared" si="0"/>
        <v>140</v>
      </c>
      <c r="AD72" s="98">
        <f t="shared" si="0"/>
        <v>230</v>
      </c>
      <c r="AE72" s="98">
        <f t="shared" si="0"/>
        <v>251</v>
      </c>
      <c r="AF72" s="98">
        <f t="shared" si="0"/>
        <v>284</v>
      </c>
      <c r="AG72" s="98">
        <f t="shared" si="0"/>
        <v>308</v>
      </c>
    </row>
    <row r="73" spans="2:33" ht="12.75">
      <c r="B73" s="99" t="s">
        <v>6</v>
      </c>
      <c r="C73" s="98">
        <f t="shared" si="0"/>
        <v>337</v>
      </c>
      <c r="D73" s="98">
        <f t="shared" si="0"/>
        <v>322</v>
      </c>
      <c r="E73" s="98">
        <f t="shared" si="0"/>
        <v>337</v>
      </c>
      <c r="F73" s="98">
        <f t="shared" si="0"/>
        <v>328</v>
      </c>
      <c r="G73" s="98">
        <f t="shared" si="0"/>
        <v>323</v>
      </c>
      <c r="H73" s="98">
        <f t="shared" si="0"/>
        <v>325</v>
      </c>
      <c r="I73" s="98">
        <f t="shared" si="0"/>
        <v>313</v>
      </c>
      <c r="J73" s="98">
        <f t="shared" si="0"/>
        <v>254</v>
      </c>
      <c r="K73" s="98">
        <f t="shared" si="0"/>
        <v>374</v>
      </c>
      <c r="L73" s="98">
        <f t="shared" si="0"/>
        <v>309</v>
      </c>
      <c r="M73" s="98">
        <f t="shared" si="0"/>
        <v>341</v>
      </c>
      <c r="N73" s="98">
        <f t="shared" si="0"/>
        <v>340</v>
      </c>
      <c r="O73" s="98">
        <f t="shared" si="0"/>
        <v>320</v>
      </c>
      <c r="P73" s="98">
        <f t="shared" si="0"/>
        <v>323</v>
      </c>
      <c r="Q73" s="98">
        <f t="shared" si="0"/>
        <v>328</v>
      </c>
      <c r="R73" s="98">
        <f t="shared" si="0"/>
        <v>333</v>
      </c>
      <c r="S73" s="98">
        <f t="shared" si="0"/>
        <v>346</v>
      </c>
      <c r="T73" s="98">
        <f t="shared" si="0"/>
        <v>351</v>
      </c>
      <c r="U73" s="98">
        <f t="shared" si="0"/>
        <v>335</v>
      </c>
      <c r="V73" s="98">
        <f t="shared" si="0"/>
        <v>325</v>
      </c>
      <c r="W73" s="98">
        <f t="shared" si="0"/>
        <v>374</v>
      </c>
      <c r="X73" s="98">
        <f t="shared" si="0"/>
        <v>317</v>
      </c>
      <c r="Y73" s="98">
        <f t="shared" si="0"/>
        <v>357</v>
      </c>
      <c r="Z73" s="98">
        <f t="shared" si="0"/>
        <v>350</v>
      </c>
      <c r="AA73" s="98">
        <f aca="true" t="shared" si="1" ref="Y73:AG88">IF(ISERROR(AA42),0,AA42)</f>
        <v>310</v>
      </c>
      <c r="AB73" s="98">
        <f t="shared" si="1"/>
        <v>338</v>
      </c>
      <c r="AC73" s="98">
        <f t="shared" si="1"/>
        <v>293</v>
      </c>
      <c r="AD73" s="98">
        <f t="shared" si="1"/>
        <v>341</v>
      </c>
      <c r="AE73" s="98">
        <f t="shared" si="1"/>
        <v>313</v>
      </c>
      <c r="AF73" s="98">
        <f t="shared" si="1"/>
        <v>303</v>
      </c>
      <c r="AG73" s="98">
        <f t="shared" si="1"/>
        <v>341</v>
      </c>
    </row>
    <row r="74" spans="2:33" ht="12.75">
      <c r="B74" s="99" t="s">
        <v>7</v>
      </c>
      <c r="C74" s="98">
        <f aca="true" t="shared" si="2" ref="C74:X85">IF(ISERROR(C43),0,C43)</f>
        <v>592</v>
      </c>
      <c r="D74" s="98">
        <f t="shared" si="2"/>
        <v>575</v>
      </c>
      <c r="E74" s="98">
        <f t="shared" si="2"/>
        <v>624</v>
      </c>
      <c r="F74" s="98">
        <f t="shared" si="2"/>
        <v>609</v>
      </c>
      <c r="G74" s="98">
        <f t="shared" si="2"/>
        <v>658</v>
      </c>
      <c r="H74" s="98">
        <f t="shared" si="2"/>
        <v>636</v>
      </c>
      <c r="I74" s="98">
        <f t="shared" si="2"/>
        <v>607</v>
      </c>
      <c r="J74" s="98">
        <f t="shared" si="2"/>
        <v>541</v>
      </c>
      <c r="K74" s="98">
        <f t="shared" si="2"/>
        <v>729</v>
      </c>
      <c r="L74" s="98">
        <f t="shared" si="2"/>
        <v>602</v>
      </c>
      <c r="M74" s="98">
        <f t="shared" si="2"/>
        <v>640</v>
      </c>
      <c r="N74" s="98">
        <f t="shared" si="2"/>
        <v>627</v>
      </c>
      <c r="O74" s="98">
        <f t="shared" si="2"/>
        <v>599</v>
      </c>
      <c r="P74" s="98">
        <f t="shared" si="2"/>
        <v>620</v>
      </c>
      <c r="Q74" s="98">
        <f t="shared" si="2"/>
        <v>585</v>
      </c>
      <c r="R74" s="98">
        <f t="shared" si="2"/>
        <v>589</v>
      </c>
      <c r="S74" s="98">
        <f t="shared" si="2"/>
        <v>600</v>
      </c>
      <c r="T74" s="98">
        <f t="shared" si="2"/>
        <v>603</v>
      </c>
      <c r="U74" s="98">
        <f t="shared" si="2"/>
        <v>560</v>
      </c>
      <c r="V74" s="98">
        <f t="shared" si="2"/>
        <v>558</v>
      </c>
      <c r="W74" s="98">
        <f t="shared" si="2"/>
        <v>621</v>
      </c>
      <c r="X74" s="98">
        <f t="shared" si="2"/>
        <v>532</v>
      </c>
      <c r="Y74" s="98">
        <f t="shared" si="1"/>
        <v>591</v>
      </c>
      <c r="Z74" s="98">
        <f t="shared" si="1"/>
        <v>580</v>
      </c>
      <c r="AA74" s="98">
        <f t="shared" si="1"/>
        <v>548</v>
      </c>
      <c r="AB74" s="98">
        <f t="shared" si="1"/>
        <v>568</v>
      </c>
      <c r="AC74" s="98">
        <f t="shared" si="1"/>
        <v>514</v>
      </c>
      <c r="AD74" s="98">
        <f t="shared" si="1"/>
        <v>567</v>
      </c>
      <c r="AE74" s="98">
        <f t="shared" si="1"/>
        <v>549</v>
      </c>
      <c r="AF74" s="98">
        <f t="shared" si="1"/>
        <v>509</v>
      </c>
      <c r="AG74" s="98">
        <f t="shared" si="1"/>
        <v>566</v>
      </c>
    </row>
    <row r="75" spans="2:33" ht="12.75">
      <c r="B75" s="99" t="s">
        <v>8</v>
      </c>
      <c r="C75" s="98">
        <f t="shared" si="2"/>
        <v>646</v>
      </c>
      <c r="D75" s="98">
        <f t="shared" si="2"/>
        <v>613</v>
      </c>
      <c r="E75" s="98">
        <f t="shared" si="2"/>
        <v>658</v>
      </c>
      <c r="F75" s="98">
        <f t="shared" si="2"/>
        <v>662</v>
      </c>
      <c r="G75" s="98">
        <f t="shared" si="2"/>
        <v>706</v>
      </c>
      <c r="H75" s="98">
        <f t="shared" si="2"/>
        <v>721</v>
      </c>
      <c r="I75" s="98">
        <f t="shared" si="2"/>
        <v>708</v>
      </c>
      <c r="J75" s="98">
        <f t="shared" si="2"/>
        <v>639</v>
      </c>
      <c r="K75" s="98">
        <f t="shared" si="2"/>
        <v>901</v>
      </c>
      <c r="L75" s="98">
        <f t="shared" si="2"/>
        <v>743</v>
      </c>
      <c r="M75" s="98">
        <f t="shared" si="2"/>
        <v>782</v>
      </c>
      <c r="N75" s="98">
        <f t="shared" si="2"/>
        <v>774</v>
      </c>
      <c r="O75" s="98">
        <f t="shared" si="2"/>
        <v>736</v>
      </c>
      <c r="P75" s="98">
        <f t="shared" si="2"/>
        <v>754</v>
      </c>
      <c r="Q75" s="98">
        <f t="shared" si="2"/>
        <v>752</v>
      </c>
      <c r="R75" s="98">
        <f t="shared" si="2"/>
        <v>773</v>
      </c>
      <c r="S75" s="98">
        <f t="shared" si="2"/>
        <v>747</v>
      </c>
      <c r="T75" s="98">
        <f t="shared" si="2"/>
        <v>814</v>
      </c>
      <c r="U75" s="98">
        <f t="shared" si="2"/>
        <v>759</v>
      </c>
      <c r="V75" s="98">
        <f t="shared" si="2"/>
        <v>739</v>
      </c>
      <c r="W75" s="98">
        <f t="shared" si="2"/>
        <v>809</v>
      </c>
      <c r="X75" s="98">
        <f t="shared" si="2"/>
        <v>745</v>
      </c>
      <c r="Y75" s="98">
        <f t="shared" si="1"/>
        <v>842</v>
      </c>
      <c r="Z75" s="98">
        <f t="shared" si="1"/>
        <v>791</v>
      </c>
      <c r="AA75" s="98">
        <f t="shared" si="1"/>
        <v>732</v>
      </c>
      <c r="AB75" s="98">
        <f t="shared" si="1"/>
        <v>744</v>
      </c>
      <c r="AC75" s="98">
        <f t="shared" si="1"/>
        <v>734</v>
      </c>
      <c r="AD75" s="98">
        <f t="shared" si="1"/>
        <v>791</v>
      </c>
      <c r="AE75" s="98">
        <f t="shared" si="1"/>
        <v>783</v>
      </c>
      <c r="AF75" s="98">
        <f t="shared" si="1"/>
        <v>720</v>
      </c>
      <c r="AG75" s="98">
        <f t="shared" si="1"/>
        <v>795</v>
      </c>
    </row>
    <row r="76" spans="2:33" ht="12.75">
      <c r="B76" s="99" t="s">
        <v>9</v>
      </c>
      <c r="C76" s="98">
        <f t="shared" si="2"/>
        <v>3514</v>
      </c>
      <c r="D76" s="98">
        <f t="shared" si="2"/>
        <v>3412</v>
      </c>
      <c r="E76" s="98">
        <f t="shared" si="2"/>
        <v>3582</v>
      </c>
      <c r="F76" s="98">
        <f t="shared" si="2"/>
        <v>3564</v>
      </c>
      <c r="G76" s="98">
        <f t="shared" si="2"/>
        <v>3783</v>
      </c>
      <c r="H76" s="98">
        <f t="shared" si="2"/>
        <v>3843</v>
      </c>
      <c r="I76" s="98">
        <f t="shared" si="2"/>
        <v>3780</v>
      </c>
      <c r="J76" s="98">
        <f t="shared" si="2"/>
        <v>3334</v>
      </c>
      <c r="K76" s="98">
        <f t="shared" si="2"/>
        <v>4563</v>
      </c>
      <c r="L76" s="98">
        <f t="shared" si="2"/>
        <v>3956</v>
      </c>
      <c r="M76" s="98">
        <f t="shared" si="2"/>
        <v>4152</v>
      </c>
      <c r="N76" s="98">
        <f t="shared" si="2"/>
        <v>4110</v>
      </c>
      <c r="O76" s="98">
        <f t="shared" si="2"/>
        <v>4047</v>
      </c>
      <c r="P76" s="98">
        <f t="shared" si="2"/>
        <v>4051</v>
      </c>
      <c r="Q76" s="98">
        <f t="shared" si="2"/>
        <v>4074</v>
      </c>
      <c r="R76" s="98">
        <f t="shared" si="2"/>
        <v>4031</v>
      </c>
      <c r="S76" s="98">
        <f t="shared" si="2"/>
        <v>4330</v>
      </c>
      <c r="T76" s="98">
        <f t="shared" si="2"/>
        <v>4449</v>
      </c>
      <c r="U76" s="98">
        <f t="shared" si="2"/>
        <v>4232</v>
      </c>
      <c r="V76" s="98">
        <f t="shared" si="2"/>
        <v>4189</v>
      </c>
      <c r="W76" s="98">
        <f t="shared" si="2"/>
        <v>4587</v>
      </c>
      <c r="X76" s="98">
        <f t="shared" si="2"/>
        <v>4047</v>
      </c>
      <c r="Y76" s="98">
        <f t="shared" si="1"/>
        <v>4698</v>
      </c>
      <c r="Z76" s="98">
        <f t="shared" si="1"/>
        <v>4592</v>
      </c>
      <c r="AA76" s="98">
        <f t="shared" si="1"/>
        <v>4234</v>
      </c>
      <c r="AB76" s="98">
        <f t="shared" si="1"/>
        <v>4562</v>
      </c>
      <c r="AC76" s="98">
        <f t="shared" si="1"/>
        <v>4249</v>
      </c>
      <c r="AD76" s="98">
        <f t="shared" si="1"/>
        <v>4731</v>
      </c>
      <c r="AE76" s="98">
        <f t="shared" si="1"/>
        <v>4509</v>
      </c>
      <c r="AF76" s="98">
        <f t="shared" si="1"/>
        <v>4398</v>
      </c>
      <c r="AG76" s="98">
        <f t="shared" si="1"/>
        <v>4998</v>
      </c>
    </row>
    <row r="77" spans="2:33" ht="12.75">
      <c r="B77" s="99" t="s">
        <v>10</v>
      </c>
      <c r="C77" s="98">
        <f t="shared" si="2"/>
        <v>1244</v>
      </c>
      <c r="D77" s="98">
        <f t="shared" si="2"/>
        <v>1183</v>
      </c>
      <c r="E77" s="98">
        <f t="shared" si="2"/>
        <v>1273</v>
      </c>
      <c r="F77" s="98">
        <f t="shared" si="2"/>
        <v>1235</v>
      </c>
      <c r="G77" s="98">
        <f t="shared" si="2"/>
        <v>1316</v>
      </c>
      <c r="H77" s="98">
        <f t="shared" si="2"/>
        <v>1317</v>
      </c>
      <c r="I77" s="98">
        <f t="shared" si="2"/>
        <v>1243</v>
      </c>
      <c r="J77" s="98">
        <f t="shared" si="2"/>
        <v>1177</v>
      </c>
      <c r="K77" s="98">
        <f t="shared" si="2"/>
        <v>1614</v>
      </c>
      <c r="L77" s="98">
        <f t="shared" si="2"/>
        <v>1428</v>
      </c>
      <c r="M77" s="98">
        <f t="shared" si="2"/>
        <v>1479</v>
      </c>
      <c r="N77" s="98">
        <f t="shared" si="2"/>
        <v>1423</v>
      </c>
      <c r="O77" s="98">
        <f t="shared" si="2"/>
        <v>1352</v>
      </c>
      <c r="P77" s="98">
        <f t="shared" si="2"/>
        <v>1437</v>
      </c>
      <c r="Q77" s="98">
        <f t="shared" si="2"/>
        <v>1360</v>
      </c>
      <c r="R77" s="98">
        <f t="shared" si="2"/>
        <v>1381</v>
      </c>
      <c r="S77" s="98">
        <f t="shared" si="2"/>
        <v>1456</v>
      </c>
      <c r="T77" s="98">
        <f t="shared" si="2"/>
        <v>1522</v>
      </c>
      <c r="U77" s="98">
        <f t="shared" si="2"/>
        <v>1416</v>
      </c>
      <c r="V77" s="98">
        <f t="shared" si="2"/>
        <v>1378</v>
      </c>
      <c r="W77" s="98">
        <f t="shared" si="2"/>
        <v>1560</v>
      </c>
      <c r="X77" s="98">
        <f t="shared" si="2"/>
        <v>1334</v>
      </c>
      <c r="Y77" s="98">
        <f t="shared" si="1"/>
        <v>1588</v>
      </c>
      <c r="Z77" s="98">
        <f t="shared" si="1"/>
        <v>1488</v>
      </c>
      <c r="AA77" s="98">
        <f t="shared" si="1"/>
        <v>1430</v>
      </c>
      <c r="AB77" s="98">
        <f t="shared" si="1"/>
        <v>1505</v>
      </c>
      <c r="AC77" s="98">
        <f t="shared" si="1"/>
        <v>1381</v>
      </c>
      <c r="AD77" s="98">
        <f t="shared" si="1"/>
        <v>1578</v>
      </c>
      <c r="AE77" s="98">
        <f t="shared" si="1"/>
        <v>1537</v>
      </c>
      <c r="AF77" s="98">
        <f t="shared" si="1"/>
        <v>1403</v>
      </c>
      <c r="AG77" s="98">
        <f t="shared" si="1"/>
        <v>1636</v>
      </c>
    </row>
    <row r="78" spans="2:33" ht="12.75">
      <c r="B78" s="99" t="s">
        <v>11</v>
      </c>
      <c r="C78" s="98">
        <f t="shared" si="2"/>
        <v>954</v>
      </c>
      <c r="D78" s="98">
        <f t="shared" si="2"/>
        <v>918</v>
      </c>
      <c r="E78" s="98">
        <f t="shared" si="2"/>
        <v>968</v>
      </c>
      <c r="F78" s="98">
        <f t="shared" si="2"/>
        <v>931</v>
      </c>
      <c r="G78" s="98">
        <f t="shared" si="2"/>
        <v>988</v>
      </c>
      <c r="H78" s="98">
        <f t="shared" si="2"/>
        <v>1000</v>
      </c>
      <c r="I78" s="98">
        <f t="shared" si="2"/>
        <v>961</v>
      </c>
      <c r="J78" s="98">
        <f t="shared" si="2"/>
        <v>813</v>
      </c>
      <c r="K78" s="98">
        <f t="shared" si="2"/>
        <v>1174</v>
      </c>
      <c r="L78" s="98">
        <f t="shared" si="2"/>
        <v>981</v>
      </c>
      <c r="M78" s="98">
        <f t="shared" si="2"/>
        <v>1087</v>
      </c>
      <c r="N78" s="98">
        <f t="shared" si="2"/>
        <v>1029</v>
      </c>
      <c r="O78" s="98">
        <f t="shared" si="2"/>
        <v>989</v>
      </c>
      <c r="P78" s="98">
        <f t="shared" si="2"/>
        <v>1091</v>
      </c>
      <c r="Q78" s="98">
        <f t="shared" si="2"/>
        <v>1012</v>
      </c>
      <c r="R78" s="98">
        <f t="shared" si="2"/>
        <v>990</v>
      </c>
      <c r="S78" s="98">
        <f t="shared" si="2"/>
        <v>1033</v>
      </c>
      <c r="T78" s="98">
        <f t="shared" si="2"/>
        <v>1079</v>
      </c>
      <c r="U78" s="98">
        <f t="shared" si="2"/>
        <v>1047</v>
      </c>
      <c r="V78" s="98">
        <f t="shared" si="2"/>
        <v>1032</v>
      </c>
      <c r="W78" s="98">
        <f t="shared" si="2"/>
        <v>1145</v>
      </c>
      <c r="X78" s="98">
        <f t="shared" si="2"/>
        <v>1030</v>
      </c>
      <c r="Y78" s="98">
        <f t="shared" si="1"/>
        <v>1185</v>
      </c>
      <c r="Z78" s="98">
        <f t="shared" si="1"/>
        <v>1140</v>
      </c>
      <c r="AA78" s="98">
        <f t="shared" si="1"/>
        <v>1117</v>
      </c>
      <c r="AB78" s="98">
        <f t="shared" si="1"/>
        <v>1150</v>
      </c>
      <c r="AC78" s="98">
        <f t="shared" si="1"/>
        <v>1083</v>
      </c>
      <c r="AD78" s="98">
        <f t="shared" si="1"/>
        <v>1198</v>
      </c>
      <c r="AE78" s="98">
        <f t="shared" si="1"/>
        <v>1148</v>
      </c>
      <c r="AF78" s="98">
        <f t="shared" si="1"/>
        <v>1104</v>
      </c>
      <c r="AG78" s="98">
        <f t="shared" si="1"/>
        <v>1269</v>
      </c>
    </row>
    <row r="79" spans="2:33" ht="12.75">
      <c r="B79" s="99" t="s">
        <v>12</v>
      </c>
      <c r="C79" s="98">
        <f t="shared" si="2"/>
        <v>56</v>
      </c>
      <c r="D79" s="98">
        <f t="shared" si="2"/>
        <v>38</v>
      </c>
      <c r="E79" s="98">
        <f t="shared" si="2"/>
        <v>58</v>
      </c>
      <c r="F79" s="98">
        <f t="shared" si="2"/>
        <v>64</v>
      </c>
      <c r="G79" s="98">
        <f t="shared" si="2"/>
        <v>66</v>
      </c>
      <c r="H79" s="98">
        <f t="shared" si="2"/>
        <v>80</v>
      </c>
      <c r="I79" s="98">
        <f t="shared" si="2"/>
        <v>68</v>
      </c>
      <c r="J79" s="98">
        <f t="shared" si="2"/>
        <v>62</v>
      </c>
      <c r="K79" s="98">
        <f t="shared" si="2"/>
        <v>104</v>
      </c>
      <c r="L79" s="98">
        <f t="shared" si="2"/>
        <v>85</v>
      </c>
      <c r="M79" s="98">
        <f t="shared" si="2"/>
        <v>82</v>
      </c>
      <c r="N79" s="98">
        <f t="shared" si="2"/>
        <v>92</v>
      </c>
      <c r="O79" s="98">
        <f t="shared" si="2"/>
        <v>90</v>
      </c>
      <c r="P79" s="98">
        <f t="shared" si="2"/>
        <v>94</v>
      </c>
      <c r="Q79" s="98">
        <f t="shared" si="2"/>
        <v>97</v>
      </c>
      <c r="R79" s="98">
        <f t="shared" si="2"/>
        <v>99</v>
      </c>
      <c r="S79" s="98">
        <f t="shared" si="2"/>
        <v>101</v>
      </c>
      <c r="T79" s="98">
        <f t="shared" si="2"/>
        <v>111</v>
      </c>
      <c r="U79" s="98">
        <f t="shared" si="2"/>
        <v>106</v>
      </c>
      <c r="V79" s="98">
        <f t="shared" si="2"/>
        <v>108</v>
      </c>
      <c r="W79" s="98">
        <f t="shared" si="2"/>
        <v>115</v>
      </c>
      <c r="X79" s="98">
        <f t="shared" si="2"/>
        <v>110</v>
      </c>
      <c r="Y79" s="98">
        <f t="shared" si="1"/>
        <v>136</v>
      </c>
      <c r="Z79" s="98">
        <f t="shared" si="1"/>
        <v>126</v>
      </c>
      <c r="AA79" s="98">
        <f t="shared" si="1"/>
        <v>141</v>
      </c>
      <c r="AB79" s="98">
        <f t="shared" si="1"/>
        <v>139</v>
      </c>
      <c r="AC79" s="98">
        <f t="shared" si="1"/>
        <v>141</v>
      </c>
      <c r="AD79" s="98">
        <f t="shared" si="1"/>
        <v>147</v>
      </c>
      <c r="AE79" s="98">
        <f t="shared" si="1"/>
        <v>163</v>
      </c>
      <c r="AF79" s="98">
        <f t="shared" si="1"/>
        <v>160</v>
      </c>
      <c r="AG79" s="98">
        <f t="shared" si="1"/>
        <v>201</v>
      </c>
    </row>
    <row r="80" spans="2:33" ht="12.75">
      <c r="B80" s="99" t="s">
        <v>13</v>
      </c>
      <c r="C80" s="98">
        <f t="shared" si="2"/>
        <v>0</v>
      </c>
      <c r="D80" s="98">
        <f t="shared" si="2"/>
        <v>0</v>
      </c>
      <c r="E80" s="98">
        <f t="shared" si="2"/>
        <v>0</v>
      </c>
      <c r="F80" s="98">
        <f t="shared" si="2"/>
        <v>0</v>
      </c>
      <c r="G80" s="98">
        <f t="shared" si="2"/>
        <v>0</v>
      </c>
      <c r="H80" s="98">
        <f t="shared" si="2"/>
        <v>0</v>
      </c>
      <c r="I80" s="98">
        <f t="shared" si="2"/>
        <v>0</v>
      </c>
      <c r="J80" s="98">
        <f t="shared" si="2"/>
        <v>0</v>
      </c>
      <c r="K80" s="98">
        <f t="shared" si="2"/>
        <v>0</v>
      </c>
      <c r="L80" s="98">
        <f t="shared" si="2"/>
        <v>0</v>
      </c>
      <c r="M80" s="98">
        <f t="shared" si="2"/>
        <v>0</v>
      </c>
      <c r="N80" s="98">
        <f t="shared" si="2"/>
        <v>0</v>
      </c>
      <c r="O80" s="98">
        <f t="shared" si="2"/>
        <v>0</v>
      </c>
      <c r="P80" s="98">
        <f t="shared" si="2"/>
        <v>0</v>
      </c>
      <c r="Q80" s="98">
        <f t="shared" si="2"/>
        <v>0</v>
      </c>
      <c r="R80" s="98">
        <f t="shared" si="2"/>
        <v>0</v>
      </c>
      <c r="S80" s="98">
        <f t="shared" si="2"/>
        <v>0</v>
      </c>
      <c r="T80" s="98">
        <f t="shared" si="2"/>
        <v>0</v>
      </c>
      <c r="U80" s="98">
        <f t="shared" si="2"/>
        <v>0</v>
      </c>
      <c r="V80" s="98">
        <f t="shared" si="2"/>
        <v>182</v>
      </c>
      <c r="W80" s="98">
        <f t="shared" si="2"/>
        <v>445</v>
      </c>
      <c r="X80" s="98">
        <f t="shared" si="2"/>
        <v>563</v>
      </c>
      <c r="Y80" s="98">
        <f t="shared" si="1"/>
        <v>788</v>
      </c>
      <c r="Z80" s="98">
        <f t="shared" si="1"/>
        <v>943</v>
      </c>
      <c r="AA80" s="98">
        <f t="shared" si="1"/>
        <v>1023</v>
      </c>
      <c r="AB80" s="98">
        <f t="shared" si="1"/>
        <v>1113</v>
      </c>
      <c r="AC80" s="98">
        <f t="shared" si="1"/>
        <v>1197</v>
      </c>
      <c r="AD80" s="98">
        <f t="shared" si="1"/>
        <v>1498</v>
      </c>
      <c r="AE80" s="98">
        <f t="shared" si="1"/>
        <v>1574</v>
      </c>
      <c r="AF80" s="98">
        <f t="shared" si="1"/>
        <v>1650</v>
      </c>
      <c r="AG80" s="98">
        <f t="shared" si="1"/>
        <v>1954</v>
      </c>
    </row>
    <row r="81" spans="2:33" ht="12.75">
      <c r="B81" s="99" t="s">
        <v>14</v>
      </c>
      <c r="C81" s="98">
        <f t="shared" si="2"/>
        <v>616</v>
      </c>
      <c r="D81" s="98">
        <f t="shared" si="2"/>
        <v>616</v>
      </c>
      <c r="E81" s="98">
        <f t="shared" si="2"/>
        <v>684</v>
      </c>
      <c r="F81" s="98">
        <f t="shared" si="2"/>
        <v>751</v>
      </c>
      <c r="G81" s="98">
        <f t="shared" si="2"/>
        <v>889</v>
      </c>
      <c r="H81" s="98">
        <f t="shared" si="2"/>
        <v>922</v>
      </c>
      <c r="I81" s="98">
        <f t="shared" si="2"/>
        <v>927</v>
      </c>
      <c r="J81" s="98">
        <f t="shared" si="2"/>
        <v>827</v>
      </c>
      <c r="K81" s="98">
        <f t="shared" si="2"/>
        <v>1175</v>
      </c>
      <c r="L81" s="98">
        <f t="shared" si="2"/>
        <v>1047</v>
      </c>
      <c r="M81" s="98">
        <f t="shared" si="2"/>
        <v>1137</v>
      </c>
      <c r="N81" s="98">
        <f t="shared" si="2"/>
        <v>1136</v>
      </c>
      <c r="O81" s="98">
        <f t="shared" si="2"/>
        <v>1123</v>
      </c>
      <c r="P81" s="98">
        <f t="shared" si="2"/>
        <v>1161</v>
      </c>
      <c r="Q81" s="98">
        <f t="shared" si="2"/>
        <v>1147</v>
      </c>
      <c r="R81" s="98">
        <f t="shared" si="2"/>
        <v>1157</v>
      </c>
      <c r="S81" s="98">
        <f t="shared" si="2"/>
        <v>1276</v>
      </c>
      <c r="T81" s="98">
        <f t="shared" si="2"/>
        <v>1347</v>
      </c>
      <c r="U81" s="98">
        <f t="shared" si="2"/>
        <v>1308</v>
      </c>
      <c r="V81" s="98">
        <f t="shared" si="2"/>
        <v>1277</v>
      </c>
      <c r="W81" s="98">
        <f t="shared" si="2"/>
        <v>1410</v>
      </c>
      <c r="X81" s="98">
        <f t="shared" si="2"/>
        <v>1193</v>
      </c>
      <c r="Y81" s="98">
        <f t="shared" si="1"/>
        <v>1329</v>
      </c>
      <c r="Z81" s="98">
        <f t="shared" si="1"/>
        <v>1378</v>
      </c>
      <c r="AA81" s="98">
        <f t="shared" si="1"/>
        <v>1338</v>
      </c>
      <c r="AB81" s="98">
        <f t="shared" si="1"/>
        <v>1386</v>
      </c>
      <c r="AC81" s="98">
        <f t="shared" si="1"/>
        <v>1298</v>
      </c>
      <c r="AD81" s="98">
        <f t="shared" si="1"/>
        <v>1504</v>
      </c>
      <c r="AE81" s="98">
        <f t="shared" si="1"/>
        <v>1387</v>
      </c>
      <c r="AF81" s="98">
        <f t="shared" si="1"/>
        <v>1333</v>
      </c>
      <c r="AG81" s="98">
        <f t="shared" si="1"/>
        <v>1537</v>
      </c>
    </row>
    <row r="82" spans="2:33" ht="12.75">
      <c r="B82" s="99" t="s">
        <v>15</v>
      </c>
      <c r="C82" s="98">
        <f t="shared" si="2"/>
        <v>61</v>
      </c>
      <c r="D82" s="98">
        <f t="shared" si="2"/>
        <v>52</v>
      </c>
      <c r="E82" s="98">
        <f t="shared" si="2"/>
        <v>61</v>
      </c>
      <c r="F82" s="98">
        <f t="shared" si="2"/>
        <v>64</v>
      </c>
      <c r="G82" s="98">
        <f t="shared" si="2"/>
        <v>78</v>
      </c>
      <c r="H82" s="98">
        <f t="shared" si="2"/>
        <v>78</v>
      </c>
      <c r="I82" s="98">
        <f t="shared" si="2"/>
        <v>77</v>
      </c>
      <c r="J82" s="98">
        <f t="shared" si="2"/>
        <v>80</v>
      </c>
      <c r="K82" s="98">
        <f t="shared" si="2"/>
        <v>105</v>
      </c>
      <c r="L82" s="98">
        <f t="shared" si="2"/>
        <v>85</v>
      </c>
      <c r="M82" s="98">
        <f t="shared" si="2"/>
        <v>123</v>
      </c>
      <c r="N82" s="98">
        <f t="shared" si="2"/>
        <v>107</v>
      </c>
      <c r="O82" s="98">
        <f t="shared" si="2"/>
        <v>101</v>
      </c>
      <c r="P82" s="98">
        <f t="shared" si="2"/>
        <v>129</v>
      </c>
      <c r="Q82" s="98">
        <f t="shared" si="2"/>
        <v>117</v>
      </c>
      <c r="R82" s="98">
        <f t="shared" si="2"/>
        <v>113</v>
      </c>
      <c r="S82" s="98">
        <f t="shared" si="2"/>
        <v>105</v>
      </c>
      <c r="T82" s="98">
        <f t="shared" si="2"/>
        <v>130</v>
      </c>
      <c r="U82" s="98">
        <f t="shared" si="2"/>
        <v>124</v>
      </c>
      <c r="V82" s="98">
        <f t="shared" si="2"/>
        <v>131</v>
      </c>
      <c r="W82" s="98">
        <f t="shared" si="2"/>
        <v>148</v>
      </c>
      <c r="X82" s="98">
        <f t="shared" si="2"/>
        <v>141</v>
      </c>
      <c r="Y82" s="98">
        <f t="shared" si="1"/>
        <v>163</v>
      </c>
      <c r="Z82" s="98">
        <f t="shared" si="1"/>
        <v>172</v>
      </c>
      <c r="AA82" s="98">
        <f t="shared" si="1"/>
        <v>156</v>
      </c>
      <c r="AB82" s="98">
        <f t="shared" si="1"/>
        <v>165</v>
      </c>
      <c r="AC82" s="98">
        <f t="shared" si="1"/>
        <v>163</v>
      </c>
      <c r="AD82" s="98">
        <f t="shared" si="1"/>
        <v>177</v>
      </c>
      <c r="AE82" s="98">
        <f t="shared" si="1"/>
        <v>186</v>
      </c>
      <c r="AF82" s="98">
        <f t="shared" si="1"/>
        <v>169</v>
      </c>
      <c r="AG82" s="98">
        <f t="shared" si="1"/>
        <v>211</v>
      </c>
    </row>
    <row r="83" spans="2:33" ht="12.75">
      <c r="B83" s="99" t="s">
        <v>16</v>
      </c>
      <c r="C83" s="98">
        <f t="shared" si="2"/>
        <v>0</v>
      </c>
      <c r="D83" s="98">
        <f t="shared" si="2"/>
        <v>0</v>
      </c>
      <c r="E83" s="98">
        <f t="shared" si="2"/>
        <v>0</v>
      </c>
      <c r="F83" s="98">
        <f t="shared" si="2"/>
        <v>0</v>
      </c>
      <c r="G83" s="98">
        <f t="shared" si="2"/>
        <v>0</v>
      </c>
      <c r="H83" s="98">
        <f t="shared" si="2"/>
        <v>0</v>
      </c>
      <c r="I83" s="98">
        <f t="shared" si="2"/>
        <v>43</v>
      </c>
      <c r="J83" s="98">
        <f t="shared" si="2"/>
        <v>143</v>
      </c>
      <c r="K83" s="98">
        <f t="shared" si="2"/>
        <v>358</v>
      </c>
      <c r="L83" s="98">
        <f t="shared" si="2"/>
        <v>458</v>
      </c>
      <c r="M83" s="98">
        <f t="shared" si="2"/>
        <v>582</v>
      </c>
      <c r="N83" s="98">
        <f t="shared" si="2"/>
        <v>623</v>
      </c>
      <c r="O83" s="98">
        <f t="shared" si="2"/>
        <v>625</v>
      </c>
      <c r="P83" s="98">
        <f t="shared" si="2"/>
        <v>694</v>
      </c>
      <c r="Q83" s="98">
        <f t="shared" si="2"/>
        <v>721</v>
      </c>
      <c r="R83" s="98">
        <f t="shared" si="2"/>
        <v>754</v>
      </c>
      <c r="S83" s="98">
        <f t="shared" si="2"/>
        <v>805</v>
      </c>
      <c r="T83" s="98">
        <f t="shared" si="2"/>
        <v>901</v>
      </c>
      <c r="U83" s="98">
        <f t="shared" si="2"/>
        <v>885</v>
      </c>
      <c r="V83" s="98">
        <f t="shared" si="2"/>
        <v>851</v>
      </c>
      <c r="W83" s="98">
        <f t="shared" si="2"/>
        <v>962</v>
      </c>
      <c r="X83" s="98">
        <f t="shared" si="2"/>
        <v>883</v>
      </c>
      <c r="Y83" s="98">
        <f t="shared" si="1"/>
        <v>979</v>
      </c>
      <c r="Z83" s="98">
        <f t="shared" si="1"/>
        <v>948</v>
      </c>
      <c r="AA83" s="98">
        <f t="shared" si="1"/>
        <v>869</v>
      </c>
      <c r="AB83" s="98">
        <f t="shared" si="1"/>
        <v>962</v>
      </c>
      <c r="AC83" s="98">
        <f t="shared" si="1"/>
        <v>898</v>
      </c>
      <c r="AD83" s="98">
        <f t="shared" si="1"/>
        <v>1052</v>
      </c>
      <c r="AE83" s="98">
        <f t="shared" si="1"/>
        <v>1025</v>
      </c>
      <c r="AF83" s="98">
        <f t="shared" si="1"/>
        <v>977</v>
      </c>
      <c r="AG83" s="98">
        <f t="shared" si="1"/>
        <v>1151</v>
      </c>
    </row>
    <row r="84" spans="2:33" ht="12.75">
      <c r="B84" s="99" t="s">
        <v>17</v>
      </c>
      <c r="C84" s="98">
        <f t="shared" si="2"/>
        <v>0</v>
      </c>
      <c r="D84" s="98">
        <f t="shared" si="2"/>
        <v>0</v>
      </c>
      <c r="E84" s="98">
        <f t="shared" si="2"/>
        <v>0</v>
      </c>
      <c r="F84" s="98">
        <f t="shared" si="2"/>
        <v>0</v>
      </c>
      <c r="G84" s="98">
        <f t="shared" si="2"/>
        <v>0</v>
      </c>
      <c r="H84" s="98">
        <f t="shared" si="2"/>
        <v>0</v>
      </c>
      <c r="I84" s="98">
        <f t="shared" si="2"/>
        <v>0</v>
      </c>
      <c r="J84" s="98">
        <f t="shared" si="2"/>
        <v>0</v>
      </c>
      <c r="K84" s="98">
        <f t="shared" si="2"/>
        <v>0</v>
      </c>
      <c r="L84" s="98">
        <f t="shared" si="2"/>
        <v>0</v>
      </c>
      <c r="M84" s="98">
        <f t="shared" si="2"/>
        <v>0</v>
      </c>
      <c r="N84" s="98">
        <f t="shared" si="2"/>
        <v>0</v>
      </c>
      <c r="O84" s="98">
        <f t="shared" si="2"/>
        <v>0</v>
      </c>
      <c r="P84" s="98">
        <f t="shared" si="2"/>
        <v>0</v>
      </c>
      <c r="Q84" s="98">
        <f t="shared" si="2"/>
        <v>0</v>
      </c>
      <c r="R84" s="98">
        <f t="shared" si="2"/>
        <v>0</v>
      </c>
      <c r="S84" s="98">
        <f t="shared" si="2"/>
        <v>0</v>
      </c>
      <c r="T84" s="98">
        <f t="shared" si="2"/>
        <v>0</v>
      </c>
      <c r="U84" s="98">
        <f t="shared" si="2"/>
        <v>12</v>
      </c>
      <c r="V84" s="98">
        <f t="shared" si="2"/>
        <v>53</v>
      </c>
      <c r="W84" s="98">
        <f t="shared" si="2"/>
        <v>100</v>
      </c>
      <c r="X84" s="98">
        <f t="shared" si="2"/>
        <v>118</v>
      </c>
      <c r="Y84" s="98">
        <f t="shared" si="1"/>
        <v>153</v>
      </c>
      <c r="Z84" s="98">
        <f t="shared" si="1"/>
        <v>190</v>
      </c>
      <c r="AA84" s="98">
        <f t="shared" si="1"/>
        <v>188</v>
      </c>
      <c r="AB84" s="98">
        <f t="shared" si="1"/>
        <v>228</v>
      </c>
      <c r="AC84" s="98">
        <f t="shared" si="1"/>
        <v>227</v>
      </c>
      <c r="AD84" s="98">
        <f t="shared" si="1"/>
        <v>300</v>
      </c>
      <c r="AE84" s="98">
        <f t="shared" si="1"/>
        <v>318</v>
      </c>
      <c r="AF84" s="98">
        <f t="shared" si="1"/>
        <v>327</v>
      </c>
      <c r="AG84" s="98">
        <f t="shared" si="1"/>
        <v>413</v>
      </c>
    </row>
    <row r="85" spans="2:33" ht="12.75">
      <c r="B85" s="99" t="s">
        <v>18</v>
      </c>
      <c r="C85" s="98">
        <f t="shared" si="2"/>
        <v>0</v>
      </c>
      <c r="D85" s="98">
        <f t="shared" si="2"/>
        <v>0</v>
      </c>
      <c r="E85" s="98">
        <f t="shared" si="2"/>
        <v>0</v>
      </c>
      <c r="F85" s="98">
        <f t="shared" si="2"/>
        <v>0</v>
      </c>
      <c r="G85" s="98">
        <f t="shared" si="2"/>
        <v>0</v>
      </c>
      <c r="H85" s="98">
        <f t="shared" si="2"/>
        <v>0</v>
      </c>
      <c r="I85" s="98">
        <f t="shared" si="2"/>
        <v>0</v>
      </c>
      <c r="J85" s="98">
        <f t="shared" si="2"/>
        <v>0</v>
      </c>
      <c r="K85" s="98">
        <f t="shared" si="2"/>
        <v>0</v>
      </c>
      <c r="L85" s="98">
        <f t="shared" si="2"/>
        <v>0</v>
      </c>
      <c r="M85" s="98">
        <f t="shared" si="2"/>
        <v>0</v>
      </c>
      <c r="N85" s="98">
        <f t="shared" si="2"/>
        <v>0</v>
      </c>
      <c r="O85" s="98">
        <f t="shared" si="2"/>
        <v>0</v>
      </c>
      <c r="P85" s="98">
        <f aca="true" t="shared" si="3" ref="D85:AG94">IF(ISERROR(P54),0,P54)</f>
        <v>0</v>
      </c>
      <c r="Q85" s="98">
        <f t="shared" si="3"/>
        <v>0</v>
      </c>
      <c r="R85" s="98">
        <f t="shared" si="3"/>
        <v>0</v>
      </c>
      <c r="S85" s="98">
        <f t="shared" si="3"/>
        <v>0</v>
      </c>
      <c r="T85" s="98">
        <f t="shared" si="3"/>
        <v>0</v>
      </c>
      <c r="U85" s="98">
        <f t="shared" si="3"/>
        <v>2</v>
      </c>
      <c r="V85" s="98">
        <f t="shared" si="3"/>
        <v>30</v>
      </c>
      <c r="W85" s="98">
        <f t="shared" si="3"/>
        <v>46</v>
      </c>
      <c r="X85" s="98">
        <f t="shared" si="3"/>
        <v>61</v>
      </c>
      <c r="Y85" s="98">
        <f t="shared" si="1"/>
        <v>79</v>
      </c>
      <c r="Z85" s="98">
        <f t="shared" si="1"/>
        <v>101</v>
      </c>
      <c r="AA85" s="98">
        <f t="shared" si="1"/>
        <v>105</v>
      </c>
      <c r="AB85" s="98">
        <f t="shared" si="1"/>
        <v>135</v>
      </c>
      <c r="AC85" s="98">
        <f t="shared" si="1"/>
        <v>131</v>
      </c>
      <c r="AD85" s="98">
        <f t="shared" si="1"/>
        <v>167</v>
      </c>
      <c r="AE85" s="98">
        <f t="shared" si="1"/>
        <v>177</v>
      </c>
      <c r="AF85" s="98">
        <f t="shared" si="1"/>
        <v>180</v>
      </c>
      <c r="AG85" s="98">
        <f t="shared" si="1"/>
        <v>241</v>
      </c>
    </row>
    <row r="86" spans="2:33" ht="12.75">
      <c r="B86" s="99" t="s">
        <v>19</v>
      </c>
      <c r="C86" s="98">
        <f aca="true" t="shared" si="4" ref="C86:C94">IF(ISERROR(C55),0,C55)</f>
        <v>80</v>
      </c>
      <c r="D86" s="98">
        <f t="shared" si="3"/>
        <v>77</v>
      </c>
      <c r="E86" s="98">
        <f t="shared" si="3"/>
        <v>77</v>
      </c>
      <c r="F86" s="98">
        <f t="shared" si="3"/>
        <v>76</v>
      </c>
      <c r="G86" s="98">
        <f t="shared" si="3"/>
        <v>86</v>
      </c>
      <c r="H86" s="98">
        <f t="shared" si="3"/>
        <v>91</v>
      </c>
      <c r="I86" s="98">
        <f t="shared" si="3"/>
        <v>81</v>
      </c>
      <c r="J86" s="98">
        <f t="shared" si="3"/>
        <v>69</v>
      </c>
      <c r="K86" s="98">
        <f t="shared" si="3"/>
        <v>81</v>
      </c>
      <c r="L86" s="98">
        <f t="shared" si="3"/>
        <v>67</v>
      </c>
      <c r="M86" s="98">
        <f t="shared" si="3"/>
        <v>80</v>
      </c>
      <c r="N86" s="98">
        <f t="shared" si="3"/>
        <v>74</v>
      </c>
      <c r="O86" s="98">
        <f t="shared" si="3"/>
        <v>66</v>
      </c>
      <c r="P86" s="98">
        <f t="shared" si="3"/>
        <v>80</v>
      </c>
      <c r="Q86" s="98">
        <f t="shared" si="3"/>
        <v>77</v>
      </c>
      <c r="R86" s="98">
        <f t="shared" si="3"/>
        <v>84</v>
      </c>
      <c r="S86" s="98">
        <f t="shared" si="3"/>
        <v>75</v>
      </c>
      <c r="T86" s="98">
        <f t="shared" si="3"/>
        <v>85</v>
      </c>
      <c r="U86" s="98">
        <f t="shared" si="3"/>
        <v>68</v>
      </c>
      <c r="V86" s="98">
        <f t="shared" si="3"/>
        <v>75</v>
      </c>
      <c r="W86" s="98">
        <f t="shared" si="3"/>
        <v>70</v>
      </c>
      <c r="X86" s="98">
        <f t="shared" si="3"/>
        <v>59</v>
      </c>
      <c r="Y86" s="98">
        <f t="shared" si="1"/>
        <v>80</v>
      </c>
      <c r="Z86" s="98">
        <f t="shared" si="1"/>
        <v>66</v>
      </c>
      <c r="AA86" s="98">
        <f t="shared" si="1"/>
        <v>69</v>
      </c>
      <c r="AB86" s="98">
        <f t="shared" si="1"/>
        <v>63</v>
      </c>
      <c r="AC86" s="98">
        <f t="shared" si="1"/>
        <v>62</v>
      </c>
      <c r="AD86" s="98">
        <f t="shared" si="1"/>
        <v>92</v>
      </c>
      <c r="AE86" s="98">
        <f t="shared" si="1"/>
        <v>63</v>
      </c>
      <c r="AF86" s="98">
        <f t="shared" si="1"/>
        <v>57</v>
      </c>
      <c r="AG86" s="98">
        <f t="shared" si="1"/>
        <v>80</v>
      </c>
    </row>
    <row r="87" spans="2:33" ht="12.75">
      <c r="B87" s="99" t="s">
        <v>20</v>
      </c>
      <c r="C87" s="98">
        <f t="shared" si="4"/>
        <v>327</v>
      </c>
      <c r="D87" s="98">
        <f t="shared" si="3"/>
        <v>256</v>
      </c>
      <c r="E87" s="98">
        <f t="shared" si="3"/>
        <v>277</v>
      </c>
      <c r="F87" s="98">
        <f t="shared" si="3"/>
        <v>268</v>
      </c>
      <c r="G87" s="98">
        <f t="shared" si="3"/>
        <v>271</v>
      </c>
      <c r="H87" s="98">
        <f t="shared" si="3"/>
        <v>313</v>
      </c>
      <c r="I87" s="98">
        <f t="shared" si="3"/>
        <v>257</v>
      </c>
      <c r="J87" s="98">
        <f t="shared" si="3"/>
        <v>257</v>
      </c>
      <c r="K87" s="98">
        <f t="shared" si="3"/>
        <v>318</v>
      </c>
      <c r="L87" s="98">
        <f t="shared" si="3"/>
        <v>240</v>
      </c>
      <c r="M87" s="98">
        <f t="shared" si="3"/>
        <v>285</v>
      </c>
      <c r="N87" s="98">
        <f t="shared" si="3"/>
        <v>265</v>
      </c>
      <c r="O87" s="98">
        <f t="shared" si="3"/>
        <v>269</v>
      </c>
      <c r="P87" s="98">
        <f t="shared" si="3"/>
        <v>273</v>
      </c>
      <c r="Q87" s="98">
        <f t="shared" si="3"/>
        <v>255</v>
      </c>
      <c r="R87" s="98">
        <f t="shared" si="3"/>
        <v>295</v>
      </c>
      <c r="S87" s="98">
        <f t="shared" si="3"/>
        <v>270</v>
      </c>
      <c r="T87" s="98">
        <f t="shared" si="3"/>
        <v>283</v>
      </c>
      <c r="U87" s="98">
        <f t="shared" si="3"/>
        <v>261</v>
      </c>
      <c r="V87" s="98">
        <f t="shared" si="3"/>
        <v>241</v>
      </c>
      <c r="W87" s="98">
        <f t="shared" si="3"/>
        <v>267</v>
      </c>
      <c r="X87" s="98">
        <f t="shared" si="3"/>
        <v>253</v>
      </c>
      <c r="Y87" s="98">
        <f t="shared" si="1"/>
        <v>281</v>
      </c>
      <c r="Z87" s="98">
        <f t="shared" si="1"/>
        <v>253</v>
      </c>
      <c r="AA87" s="98">
        <f t="shared" si="1"/>
        <v>241</v>
      </c>
      <c r="AB87" s="98">
        <f t="shared" si="1"/>
        <v>242</v>
      </c>
      <c r="AC87" s="98">
        <f t="shared" si="1"/>
        <v>256</v>
      </c>
      <c r="AD87" s="98">
        <f t="shared" si="1"/>
        <v>250</v>
      </c>
      <c r="AE87" s="98">
        <f t="shared" si="1"/>
        <v>252</v>
      </c>
      <c r="AF87" s="98">
        <f t="shared" si="1"/>
        <v>237</v>
      </c>
      <c r="AG87" s="98">
        <f t="shared" si="1"/>
        <v>262</v>
      </c>
    </row>
    <row r="88" spans="2:33" ht="12.75">
      <c r="B88" s="99" t="s">
        <v>21</v>
      </c>
      <c r="C88" s="98">
        <f t="shared" si="4"/>
        <v>114</v>
      </c>
      <c r="D88" s="98">
        <f t="shared" si="3"/>
        <v>122</v>
      </c>
      <c r="E88" s="98">
        <f t="shared" si="3"/>
        <v>125</v>
      </c>
      <c r="F88" s="98">
        <f t="shared" si="3"/>
        <v>115</v>
      </c>
      <c r="G88" s="98">
        <f t="shared" si="3"/>
        <v>127</v>
      </c>
      <c r="H88" s="98">
        <f t="shared" si="3"/>
        <v>122</v>
      </c>
      <c r="I88" s="98">
        <f t="shared" si="3"/>
        <v>126</v>
      </c>
      <c r="J88" s="98">
        <f t="shared" si="3"/>
        <v>97</v>
      </c>
      <c r="K88" s="98">
        <f t="shared" si="3"/>
        <v>148</v>
      </c>
      <c r="L88" s="98">
        <f t="shared" si="3"/>
        <v>128</v>
      </c>
      <c r="M88" s="98">
        <f t="shared" si="3"/>
        <v>136</v>
      </c>
      <c r="N88" s="98">
        <f t="shared" si="3"/>
        <v>137</v>
      </c>
      <c r="O88" s="98">
        <f t="shared" si="3"/>
        <v>121</v>
      </c>
      <c r="P88" s="98">
        <f t="shared" si="3"/>
        <v>144</v>
      </c>
      <c r="Q88" s="98">
        <f t="shared" si="3"/>
        <v>136</v>
      </c>
      <c r="R88" s="98">
        <f t="shared" si="3"/>
        <v>145</v>
      </c>
      <c r="S88" s="98">
        <f t="shared" si="3"/>
        <v>144</v>
      </c>
      <c r="T88" s="98">
        <f t="shared" si="3"/>
        <v>147</v>
      </c>
      <c r="U88" s="98">
        <f t="shared" si="3"/>
        <v>141</v>
      </c>
      <c r="V88" s="98">
        <f t="shared" si="3"/>
        <v>143</v>
      </c>
      <c r="W88" s="98">
        <f t="shared" si="3"/>
        <v>166</v>
      </c>
      <c r="X88" s="98">
        <f t="shared" si="3"/>
        <v>141</v>
      </c>
      <c r="Y88" s="98">
        <f t="shared" si="1"/>
        <v>173</v>
      </c>
      <c r="Z88" s="98">
        <f t="shared" si="1"/>
        <v>172</v>
      </c>
      <c r="AA88" s="98">
        <f t="shared" si="1"/>
        <v>158</v>
      </c>
      <c r="AB88" s="98">
        <f t="shared" si="1"/>
        <v>172</v>
      </c>
      <c r="AC88" s="98">
        <f t="shared" si="1"/>
        <v>148</v>
      </c>
      <c r="AD88" s="98">
        <f t="shared" si="1"/>
        <v>160</v>
      </c>
      <c r="AE88" s="98">
        <f t="shared" si="1"/>
        <v>171</v>
      </c>
      <c r="AF88" s="98">
        <f t="shared" si="1"/>
        <v>149</v>
      </c>
      <c r="AG88" s="98">
        <f t="shared" si="1"/>
        <v>171</v>
      </c>
    </row>
    <row r="89" spans="2:33" ht="12.75">
      <c r="B89" s="99" t="s">
        <v>22</v>
      </c>
      <c r="C89" s="98">
        <f t="shared" si="4"/>
        <v>44</v>
      </c>
      <c r="D89" s="98">
        <f t="shared" si="3"/>
        <v>40</v>
      </c>
      <c r="E89" s="98">
        <f t="shared" si="3"/>
        <v>35</v>
      </c>
      <c r="F89" s="98">
        <f t="shared" si="3"/>
        <v>35</v>
      </c>
      <c r="G89" s="98">
        <f t="shared" si="3"/>
        <v>41</v>
      </c>
      <c r="H89" s="98">
        <f t="shared" si="3"/>
        <v>37</v>
      </c>
      <c r="I89" s="98">
        <f t="shared" si="3"/>
        <v>38</v>
      </c>
      <c r="J89" s="98">
        <f t="shared" si="3"/>
        <v>30</v>
      </c>
      <c r="K89" s="98">
        <f t="shared" si="3"/>
        <v>39</v>
      </c>
      <c r="L89" s="98">
        <f t="shared" si="3"/>
        <v>31</v>
      </c>
      <c r="M89" s="98">
        <f t="shared" si="3"/>
        <v>31</v>
      </c>
      <c r="N89" s="98">
        <f t="shared" si="3"/>
        <v>33</v>
      </c>
      <c r="O89" s="98">
        <f t="shared" si="3"/>
        <v>29</v>
      </c>
      <c r="P89" s="98">
        <f t="shared" si="3"/>
        <v>34</v>
      </c>
      <c r="Q89" s="98">
        <f t="shared" si="3"/>
        <v>32</v>
      </c>
      <c r="R89" s="98">
        <f t="shared" si="3"/>
        <v>35</v>
      </c>
      <c r="S89" s="98">
        <f t="shared" si="3"/>
        <v>32</v>
      </c>
      <c r="T89" s="98">
        <f t="shared" si="3"/>
        <v>33</v>
      </c>
      <c r="U89" s="98">
        <f t="shared" si="3"/>
        <v>31</v>
      </c>
      <c r="V89" s="98">
        <f t="shared" si="3"/>
        <v>26</v>
      </c>
      <c r="W89" s="98">
        <f t="shared" si="3"/>
        <v>31</v>
      </c>
      <c r="X89" s="98">
        <f t="shared" si="3"/>
        <v>28</v>
      </c>
      <c r="Y89" s="98">
        <f t="shared" si="3"/>
        <v>31</v>
      </c>
      <c r="Z89" s="98">
        <f t="shared" si="3"/>
        <v>25</v>
      </c>
      <c r="AA89" s="98">
        <f t="shared" si="3"/>
        <v>22</v>
      </c>
      <c r="AB89" s="98">
        <f t="shared" si="3"/>
        <v>19</v>
      </c>
      <c r="AC89" s="98">
        <f t="shared" si="3"/>
        <v>23</v>
      </c>
      <c r="AD89" s="98">
        <f t="shared" si="3"/>
        <v>28</v>
      </c>
      <c r="AE89" s="98">
        <f t="shared" si="3"/>
        <v>22</v>
      </c>
      <c r="AF89" s="98">
        <f t="shared" si="3"/>
        <v>17</v>
      </c>
      <c r="AG89" s="98">
        <f t="shared" si="3"/>
        <v>20</v>
      </c>
    </row>
    <row r="90" spans="2:33" ht="12.75">
      <c r="B90" s="99" t="s">
        <v>23</v>
      </c>
      <c r="C90" s="98">
        <f t="shared" si="4"/>
        <v>0</v>
      </c>
      <c r="D90" s="98">
        <f t="shared" si="3"/>
        <v>0</v>
      </c>
      <c r="E90" s="98">
        <f t="shared" si="3"/>
        <v>0</v>
      </c>
      <c r="F90" s="98">
        <f t="shared" si="3"/>
        <v>0</v>
      </c>
      <c r="G90" s="98">
        <f t="shared" si="3"/>
        <v>0</v>
      </c>
      <c r="H90" s="98">
        <f t="shared" si="3"/>
        <v>0</v>
      </c>
      <c r="I90" s="98">
        <f t="shared" si="3"/>
        <v>0</v>
      </c>
      <c r="J90" s="98">
        <f t="shared" si="3"/>
        <v>0</v>
      </c>
      <c r="K90" s="98">
        <f t="shared" si="3"/>
        <v>0</v>
      </c>
      <c r="L90" s="98">
        <f t="shared" si="3"/>
        <v>0</v>
      </c>
      <c r="M90" s="98">
        <f t="shared" si="3"/>
        <v>0</v>
      </c>
      <c r="N90" s="98">
        <f t="shared" si="3"/>
        <v>0</v>
      </c>
      <c r="O90" s="98">
        <f t="shared" si="3"/>
        <v>0</v>
      </c>
      <c r="P90" s="98">
        <f t="shared" si="3"/>
        <v>0</v>
      </c>
      <c r="Q90" s="98">
        <f t="shared" si="3"/>
        <v>0</v>
      </c>
      <c r="R90" s="98">
        <f t="shared" si="3"/>
        <v>0</v>
      </c>
      <c r="S90" s="98">
        <f t="shared" si="3"/>
        <v>0</v>
      </c>
      <c r="T90" s="98">
        <f t="shared" si="3"/>
        <v>0</v>
      </c>
      <c r="U90" s="98">
        <f t="shared" si="3"/>
        <v>0</v>
      </c>
      <c r="V90" s="98">
        <f t="shared" si="3"/>
        <v>0</v>
      </c>
      <c r="W90" s="98">
        <f t="shared" si="3"/>
        <v>47</v>
      </c>
      <c r="X90" s="98">
        <f t="shared" si="3"/>
        <v>241</v>
      </c>
      <c r="Y90" s="98">
        <f t="shared" si="3"/>
        <v>515</v>
      </c>
      <c r="Z90" s="98">
        <f t="shared" si="3"/>
        <v>660</v>
      </c>
      <c r="AA90" s="98">
        <f t="shared" si="3"/>
        <v>823</v>
      </c>
      <c r="AB90" s="98">
        <f t="shared" si="3"/>
        <v>888</v>
      </c>
      <c r="AC90" s="98">
        <f t="shared" si="3"/>
        <v>899</v>
      </c>
      <c r="AD90" s="98">
        <f t="shared" si="3"/>
        <v>1111</v>
      </c>
      <c r="AE90" s="98">
        <f t="shared" si="3"/>
        <v>1111</v>
      </c>
      <c r="AF90" s="98">
        <f t="shared" si="3"/>
        <v>1098</v>
      </c>
      <c r="AG90" s="98">
        <f t="shared" si="3"/>
        <v>1287</v>
      </c>
    </row>
    <row r="91" spans="2:33" ht="12.75">
      <c r="B91" s="99" t="s">
        <v>24</v>
      </c>
      <c r="C91" s="98">
        <f t="shared" si="4"/>
        <v>2335</v>
      </c>
      <c r="D91" s="98">
        <f t="shared" si="3"/>
        <v>2271</v>
      </c>
      <c r="E91" s="98">
        <f t="shared" si="3"/>
        <v>2322</v>
      </c>
      <c r="F91" s="98">
        <f t="shared" si="3"/>
        <v>2254</v>
      </c>
      <c r="G91" s="98">
        <f t="shared" si="3"/>
        <v>2435</v>
      </c>
      <c r="H91" s="98">
        <f t="shared" si="3"/>
        <v>2504</v>
      </c>
      <c r="I91" s="98">
        <f t="shared" si="3"/>
        <v>2302</v>
      </c>
      <c r="J91" s="98">
        <f t="shared" si="3"/>
        <v>2072</v>
      </c>
      <c r="K91" s="98">
        <f t="shared" si="3"/>
        <v>2729</v>
      </c>
      <c r="L91" s="98">
        <f t="shared" si="3"/>
        <v>2343</v>
      </c>
      <c r="M91" s="98">
        <f t="shared" si="3"/>
        <v>2389</v>
      </c>
      <c r="N91" s="98">
        <f t="shared" si="3"/>
        <v>2412</v>
      </c>
      <c r="O91" s="98">
        <f t="shared" si="3"/>
        <v>2398</v>
      </c>
      <c r="P91" s="98">
        <f t="shared" si="3"/>
        <v>2436</v>
      </c>
      <c r="Q91" s="98">
        <f t="shared" si="3"/>
        <v>2347</v>
      </c>
      <c r="R91" s="98">
        <f t="shared" si="3"/>
        <v>2378</v>
      </c>
      <c r="S91" s="98">
        <f t="shared" si="3"/>
        <v>2446</v>
      </c>
      <c r="T91" s="98">
        <f t="shared" si="3"/>
        <v>2450</v>
      </c>
      <c r="U91" s="98">
        <f t="shared" si="3"/>
        <v>2278</v>
      </c>
      <c r="V91" s="98">
        <f t="shared" si="3"/>
        <v>2248</v>
      </c>
      <c r="W91" s="98">
        <f t="shared" si="3"/>
        <v>2437</v>
      </c>
      <c r="X91" s="98">
        <f t="shared" si="3"/>
        <v>1982</v>
      </c>
      <c r="Y91" s="98">
        <f t="shared" si="3"/>
        <v>2062</v>
      </c>
      <c r="Z91" s="98">
        <f t="shared" si="3"/>
        <v>1818</v>
      </c>
      <c r="AA91" s="98">
        <f t="shared" si="3"/>
        <v>1620</v>
      </c>
      <c r="AB91" s="98">
        <f t="shared" si="3"/>
        <v>1656</v>
      </c>
      <c r="AC91" s="98">
        <f t="shared" si="3"/>
        <v>1445</v>
      </c>
      <c r="AD91" s="98">
        <f t="shared" si="3"/>
        <v>1582</v>
      </c>
      <c r="AE91" s="98">
        <f t="shared" si="3"/>
        <v>1442</v>
      </c>
      <c r="AF91" s="98">
        <f t="shared" si="3"/>
        <v>1301</v>
      </c>
      <c r="AG91" s="98">
        <f t="shared" si="3"/>
        <v>1498</v>
      </c>
    </row>
    <row r="92" spans="2:33" ht="12.75">
      <c r="B92" s="99" t="s">
        <v>25</v>
      </c>
      <c r="C92" s="98">
        <f t="shared" si="4"/>
        <v>2145</v>
      </c>
      <c r="D92" s="98">
        <f t="shared" si="3"/>
        <v>2052</v>
      </c>
      <c r="E92" s="98">
        <f t="shared" si="3"/>
        <v>2136</v>
      </c>
      <c r="F92" s="98">
        <f t="shared" si="3"/>
        <v>2042</v>
      </c>
      <c r="G92" s="98">
        <f t="shared" si="3"/>
        <v>2096</v>
      </c>
      <c r="H92" s="98">
        <f t="shared" si="3"/>
        <v>2081</v>
      </c>
      <c r="I92" s="98">
        <f t="shared" si="3"/>
        <v>1971</v>
      </c>
      <c r="J92" s="98">
        <f t="shared" si="3"/>
        <v>1738</v>
      </c>
      <c r="K92" s="98">
        <f t="shared" si="3"/>
        <v>2331</v>
      </c>
      <c r="L92" s="98">
        <f t="shared" si="3"/>
        <v>1986</v>
      </c>
      <c r="M92" s="98">
        <f t="shared" si="3"/>
        <v>2114</v>
      </c>
      <c r="N92" s="98">
        <f t="shared" si="3"/>
        <v>2065</v>
      </c>
      <c r="O92" s="98">
        <f t="shared" si="3"/>
        <v>1985</v>
      </c>
      <c r="P92" s="98">
        <f t="shared" si="3"/>
        <v>2021</v>
      </c>
      <c r="Q92" s="98">
        <f t="shared" si="3"/>
        <v>2025</v>
      </c>
      <c r="R92" s="98">
        <f t="shared" si="3"/>
        <v>2035</v>
      </c>
      <c r="S92" s="98">
        <f t="shared" si="3"/>
        <v>2055</v>
      </c>
      <c r="T92" s="98">
        <f t="shared" si="3"/>
        <v>2159</v>
      </c>
      <c r="U92" s="98">
        <f t="shared" si="3"/>
        <v>2039</v>
      </c>
      <c r="V92" s="98">
        <f t="shared" si="3"/>
        <v>1925</v>
      </c>
      <c r="W92" s="98">
        <f t="shared" si="3"/>
        <v>2142</v>
      </c>
      <c r="X92" s="98">
        <f t="shared" si="3"/>
        <v>1808</v>
      </c>
      <c r="Y92" s="98">
        <f t="shared" si="3"/>
        <v>2053</v>
      </c>
      <c r="Z92" s="98">
        <f t="shared" si="3"/>
        <v>1930</v>
      </c>
      <c r="AA92" s="98">
        <f t="shared" si="3"/>
        <v>1728</v>
      </c>
      <c r="AB92" s="98">
        <f t="shared" si="3"/>
        <v>1856</v>
      </c>
      <c r="AC92" s="98">
        <f t="shared" si="3"/>
        <v>1681</v>
      </c>
      <c r="AD92" s="98">
        <f t="shared" si="3"/>
        <v>1843</v>
      </c>
      <c r="AE92" s="98">
        <f t="shared" si="3"/>
        <v>1703</v>
      </c>
      <c r="AF92" s="98">
        <f t="shared" si="3"/>
        <v>1571</v>
      </c>
      <c r="AG92" s="98">
        <f t="shared" si="3"/>
        <v>1734</v>
      </c>
    </row>
    <row r="93" spans="2:33" ht="12.75">
      <c r="B93" s="99" t="s">
        <v>26</v>
      </c>
      <c r="C93" s="98">
        <f t="shared" si="4"/>
        <v>543</v>
      </c>
      <c r="D93" s="98">
        <f t="shared" si="3"/>
        <v>529</v>
      </c>
      <c r="E93" s="98">
        <f t="shared" si="3"/>
        <v>538</v>
      </c>
      <c r="F93" s="98">
        <f t="shared" si="3"/>
        <v>538</v>
      </c>
      <c r="G93" s="98">
        <f t="shared" si="3"/>
        <v>547</v>
      </c>
      <c r="H93" s="98">
        <f t="shared" si="3"/>
        <v>545</v>
      </c>
      <c r="I93" s="98">
        <f t="shared" si="3"/>
        <v>491</v>
      </c>
      <c r="J93" s="98">
        <f t="shared" si="3"/>
        <v>456</v>
      </c>
      <c r="K93" s="98">
        <f t="shared" si="3"/>
        <v>586</v>
      </c>
      <c r="L93" s="98">
        <f t="shared" si="3"/>
        <v>515</v>
      </c>
      <c r="M93" s="98">
        <f t="shared" si="3"/>
        <v>526</v>
      </c>
      <c r="N93" s="98">
        <f t="shared" si="3"/>
        <v>502</v>
      </c>
      <c r="O93" s="98">
        <f t="shared" si="3"/>
        <v>481</v>
      </c>
      <c r="P93" s="98">
        <f t="shared" si="3"/>
        <v>496</v>
      </c>
      <c r="Q93" s="98">
        <f t="shared" si="3"/>
        <v>497</v>
      </c>
      <c r="R93" s="98">
        <f t="shared" si="3"/>
        <v>520</v>
      </c>
      <c r="S93" s="98">
        <f t="shared" si="3"/>
        <v>475</v>
      </c>
      <c r="T93" s="98">
        <f t="shared" si="3"/>
        <v>522</v>
      </c>
      <c r="U93" s="98">
        <f t="shared" si="3"/>
        <v>474</v>
      </c>
      <c r="V93" s="98">
        <f t="shared" si="3"/>
        <v>469</v>
      </c>
      <c r="W93" s="98">
        <f t="shared" si="3"/>
        <v>511</v>
      </c>
      <c r="X93" s="98">
        <f t="shared" si="3"/>
        <v>418</v>
      </c>
      <c r="Y93" s="98">
        <f t="shared" si="3"/>
        <v>487</v>
      </c>
      <c r="Z93" s="98">
        <f t="shared" si="3"/>
        <v>440</v>
      </c>
      <c r="AA93" s="98">
        <f t="shared" si="3"/>
        <v>451</v>
      </c>
      <c r="AB93" s="98">
        <f t="shared" si="3"/>
        <v>467</v>
      </c>
      <c r="AC93" s="98">
        <f t="shared" si="3"/>
        <v>417</v>
      </c>
      <c r="AD93" s="98">
        <f t="shared" si="3"/>
        <v>460</v>
      </c>
      <c r="AE93" s="98">
        <f t="shared" si="3"/>
        <v>435</v>
      </c>
      <c r="AF93" s="98">
        <f t="shared" si="3"/>
        <v>379</v>
      </c>
      <c r="AG93" s="98">
        <f t="shared" si="3"/>
        <v>464</v>
      </c>
    </row>
    <row r="94" spans="2:33" ht="12.75">
      <c r="B94" s="99" t="s">
        <v>71</v>
      </c>
      <c r="C94" s="98">
        <f t="shared" si="4"/>
        <v>0</v>
      </c>
      <c r="D94" s="98">
        <f t="shared" si="3"/>
        <v>0</v>
      </c>
      <c r="E94" s="98">
        <f t="shared" si="3"/>
        <v>0</v>
      </c>
      <c r="F94" s="98">
        <f t="shared" si="3"/>
        <v>0</v>
      </c>
      <c r="G94" s="98">
        <f t="shared" si="3"/>
        <v>0</v>
      </c>
      <c r="H94" s="98">
        <f t="shared" si="3"/>
        <v>0</v>
      </c>
      <c r="I94" s="98">
        <f t="shared" si="3"/>
        <v>0</v>
      </c>
      <c r="J94" s="98">
        <f t="shared" si="3"/>
        <v>0</v>
      </c>
      <c r="K94" s="98">
        <f t="shared" si="3"/>
        <v>0</v>
      </c>
      <c r="L94" s="98">
        <f t="shared" si="3"/>
        <v>0</v>
      </c>
      <c r="M94" s="98">
        <f t="shared" si="3"/>
        <v>0</v>
      </c>
      <c r="N94" s="98">
        <f t="shared" si="3"/>
        <v>0</v>
      </c>
      <c r="O94" s="98">
        <f t="shared" si="3"/>
        <v>0</v>
      </c>
      <c r="P94" s="98">
        <f t="shared" si="3"/>
        <v>0</v>
      </c>
      <c r="Q94" s="98">
        <f t="shared" si="3"/>
        <v>0</v>
      </c>
      <c r="R94" s="98">
        <f t="shared" si="3"/>
        <v>0</v>
      </c>
      <c r="S94" s="98">
        <f t="shared" si="3"/>
        <v>0</v>
      </c>
      <c r="T94" s="98">
        <f t="shared" si="3"/>
        <v>0</v>
      </c>
      <c r="U94" s="98">
        <f t="shared" si="3"/>
        <v>0</v>
      </c>
      <c r="V94" s="98">
        <f t="shared" si="3"/>
        <v>0</v>
      </c>
      <c r="W94" s="98">
        <f t="shared" si="3"/>
        <v>0</v>
      </c>
      <c r="X94" s="98">
        <f t="shared" si="3"/>
        <v>0</v>
      </c>
      <c r="Y94" s="98">
        <f t="shared" si="3"/>
        <v>0</v>
      </c>
      <c r="Z94" s="98">
        <f t="shared" si="3"/>
        <v>0</v>
      </c>
      <c r="AA94" s="98">
        <f aca="true" t="shared" si="5" ref="AA94:AG94">IF(ISERROR(AA63),0,AA63)</f>
        <v>0</v>
      </c>
      <c r="AB94" s="98">
        <f t="shared" si="5"/>
        <v>0</v>
      </c>
      <c r="AC94" s="98">
        <f t="shared" si="5"/>
        <v>0</v>
      </c>
      <c r="AD94" s="98">
        <f t="shared" si="5"/>
        <v>0</v>
      </c>
      <c r="AE94" s="98">
        <f t="shared" si="5"/>
        <v>0</v>
      </c>
      <c r="AF94" s="98">
        <f t="shared" si="5"/>
        <v>0</v>
      </c>
      <c r="AG94" s="98">
        <f t="shared" si="5"/>
        <v>15</v>
      </c>
    </row>
    <row r="95" spans="2:31" ht="12.75">
      <c r="B95" s="82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</row>
    <row r="96" spans="2:33" ht="13.5" thickBot="1">
      <c r="B96" s="46" t="s">
        <v>0</v>
      </c>
      <c r="C96" s="47">
        <v>38169</v>
      </c>
      <c r="D96" s="47">
        <v>38200</v>
      </c>
      <c r="E96" s="47">
        <v>38231</v>
      </c>
      <c r="F96" s="47">
        <v>38261</v>
      </c>
      <c r="G96" s="47">
        <v>38292</v>
      </c>
      <c r="H96" s="47">
        <v>38322</v>
      </c>
      <c r="I96" s="47">
        <v>38353</v>
      </c>
      <c r="J96" s="47">
        <v>38384</v>
      </c>
      <c r="K96" s="47">
        <v>38412</v>
      </c>
      <c r="L96" s="47">
        <v>38443</v>
      </c>
      <c r="M96" s="47">
        <v>38473</v>
      </c>
      <c r="N96" s="47">
        <v>38504</v>
      </c>
      <c r="O96" s="47">
        <v>38534</v>
      </c>
      <c r="P96" s="47">
        <v>38565</v>
      </c>
      <c r="Q96" s="47">
        <v>38596</v>
      </c>
      <c r="R96" s="47">
        <v>38626</v>
      </c>
      <c r="S96" s="47">
        <v>38657</v>
      </c>
      <c r="T96" s="47">
        <v>38687</v>
      </c>
      <c r="U96" s="47">
        <v>38718</v>
      </c>
      <c r="V96" s="47">
        <v>38749</v>
      </c>
      <c r="W96" s="47">
        <v>38777</v>
      </c>
      <c r="X96" s="47">
        <v>38808</v>
      </c>
      <c r="Y96" s="47">
        <v>38838</v>
      </c>
      <c r="Z96" s="47">
        <v>38869</v>
      </c>
      <c r="AA96" s="47">
        <v>38899</v>
      </c>
      <c r="AB96" s="47">
        <v>38930</v>
      </c>
      <c r="AC96" s="47">
        <v>38961</v>
      </c>
      <c r="AD96" s="47">
        <v>38991</v>
      </c>
      <c r="AE96" s="47">
        <v>39022</v>
      </c>
      <c r="AF96" s="47">
        <v>39052</v>
      </c>
      <c r="AG96" s="47">
        <v>39083</v>
      </c>
    </row>
    <row r="97" spans="2:33" ht="13.5" thickTop="1">
      <c r="B97" s="40" t="s">
        <v>27</v>
      </c>
      <c r="C97" s="41">
        <f>SUM(C66:C68)</f>
        <v>4821</v>
      </c>
      <c r="D97" s="41">
        <f aca="true" t="shared" si="6" ref="D97:AG97">SUM(D66:D68)</f>
        <v>4622</v>
      </c>
      <c r="E97" s="41">
        <f t="shared" si="6"/>
        <v>4798</v>
      </c>
      <c r="F97" s="41">
        <f t="shared" si="6"/>
        <v>4639</v>
      </c>
      <c r="G97" s="41">
        <f t="shared" si="6"/>
        <v>4876</v>
      </c>
      <c r="H97" s="41">
        <f t="shared" si="6"/>
        <v>4908</v>
      </c>
      <c r="I97" s="41">
        <f t="shared" si="6"/>
        <v>4654</v>
      </c>
      <c r="J97" s="41">
        <f t="shared" si="6"/>
        <v>4083</v>
      </c>
      <c r="K97" s="41">
        <f t="shared" si="6"/>
        <v>5432</v>
      </c>
      <c r="L97" s="41">
        <f t="shared" si="6"/>
        <v>4615</v>
      </c>
      <c r="M97" s="41">
        <f t="shared" si="6"/>
        <v>4919</v>
      </c>
      <c r="N97" s="41">
        <f t="shared" si="6"/>
        <v>4791</v>
      </c>
      <c r="O97" s="41">
        <f t="shared" si="6"/>
        <v>4650</v>
      </c>
      <c r="P97" s="41">
        <f t="shared" si="6"/>
        <v>4852</v>
      </c>
      <c r="Q97" s="41">
        <f t="shared" si="6"/>
        <v>4689</v>
      </c>
      <c r="R97" s="41">
        <f t="shared" si="6"/>
        <v>4678</v>
      </c>
      <c r="S97" s="41">
        <f t="shared" si="6"/>
        <v>4832</v>
      </c>
      <c r="T97" s="41">
        <f t="shared" si="6"/>
        <v>4868</v>
      </c>
      <c r="U97" s="41">
        <f t="shared" si="6"/>
        <v>4686</v>
      </c>
      <c r="V97" s="41">
        <f t="shared" si="6"/>
        <v>4544</v>
      </c>
      <c r="W97" s="41">
        <f t="shared" si="6"/>
        <v>5015</v>
      </c>
      <c r="X97" s="41">
        <f t="shared" si="6"/>
        <v>4275</v>
      </c>
      <c r="Y97" s="41">
        <f t="shared" si="6"/>
        <v>4961</v>
      </c>
      <c r="Z97" s="41">
        <f t="shared" si="6"/>
        <v>4776</v>
      </c>
      <c r="AA97" s="41">
        <f t="shared" si="6"/>
        <v>4386</v>
      </c>
      <c r="AB97" s="41">
        <f t="shared" si="6"/>
        <v>4699</v>
      </c>
      <c r="AC97" s="41">
        <f t="shared" si="6"/>
        <v>4374</v>
      </c>
      <c r="AD97" s="41">
        <f t="shared" si="6"/>
        <v>4797</v>
      </c>
      <c r="AE97" s="41">
        <f t="shared" si="6"/>
        <v>4516</v>
      </c>
      <c r="AF97" s="41">
        <f t="shared" si="6"/>
        <v>4326</v>
      </c>
      <c r="AG97" s="41">
        <f t="shared" si="6"/>
        <v>4869</v>
      </c>
    </row>
    <row r="98" spans="2:33" ht="12.75">
      <c r="B98" s="33" t="s">
        <v>28</v>
      </c>
      <c r="C98" s="34">
        <f>SUM(C69:C71)</f>
        <v>6382</v>
      </c>
      <c r="D98" s="34">
        <f aca="true" t="shared" si="7" ref="D98:AG98">SUM(D69:D71)</f>
        <v>6107</v>
      </c>
      <c r="E98" s="34">
        <f t="shared" si="7"/>
        <v>6436</v>
      </c>
      <c r="F98" s="34">
        <f t="shared" si="7"/>
        <v>6204</v>
      </c>
      <c r="G98" s="34">
        <f t="shared" si="7"/>
        <v>6568</v>
      </c>
      <c r="H98" s="34">
        <f t="shared" si="7"/>
        <v>6568</v>
      </c>
      <c r="I98" s="34">
        <f t="shared" si="7"/>
        <v>6211</v>
      </c>
      <c r="J98" s="34">
        <f t="shared" si="7"/>
        <v>5593</v>
      </c>
      <c r="K98" s="34">
        <f t="shared" si="7"/>
        <v>7277</v>
      </c>
      <c r="L98" s="34">
        <f t="shared" si="7"/>
        <v>6284</v>
      </c>
      <c r="M98" s="34">
        <f t="shared" si="7"/>
        <v>6643</v>
      </c>
      <c r="N98" s="34">
        <f t="shared" si="7"/>
        <v>6318</v>
      </c>
      <c r="O98" s="34">
        <f t="shared" si="7"/>
        <v>6148</v>
      </c>
      <c r="P98" s="34">
        <f t="shared" si="7"/>
        <v>6239</v>
      </c>
      <c r="Q98" s="34">
        <f t="shared" si="7"/>
        <v>6083</v>
      </c>
      <c r="R98" s="34">
        <f t="shared" si="7"/>
        <v>6003</v>
      </c>
      <c r="S98" s="34">
        <f t="shared" si="7"/>
        <v>6123</v>
      </c>
      <c r="T98" s="34">
        <f t="shared" si="7"/>
        <v>6140</v>
      </c>
      <c r="U98" s="34">
        <f t="shared" si="7"/>
        <v>5816</v>
      </c>
      <c r="V98" s="34">
        <f t="shared" si="7"/>
        <v>5646</v>
      </c>
      <c r="W98" s="34">
        <f t="shared" si="7"/>
        <v>6097</v>
      </c>
      <c r="X98" s="34">
        <f t="shared" si="7"/>
        <v>5419</v>
      </c>
      <c r="Y98" s="34">
        <f t="shared" si="7"/>
        <v>6141</v>
      </c>
      <c r="Z98" s="34">
        <f t="shared" si="7"/>
        <v>5869</v>
      </c>
      <c r="AA98" s="34">
        <f t="shared" si="7"/>
        <v>5377</v>
      </c>
      <c r="AB98" s="34">
        <f t="shared" si="7"/>
        <v>5703</v>
      </c>
      <c r="AC98" s="34">
        <f t="shared" si="7"/>
        <v>5159</v>
      </c>
      <c r="AD98" s="34">
        <f t="shared" si="7"/>
        <v>5727</v>
      </c>
      <c r="AE98" s="34">
        <f t="shared" si="7"/>
        <v>5436</v>
      </c>
      <c r="AF98" s="34">
        <f t="shared" si="7"/>
        <v>5095</v>
      </c>
      <c r="AG98" s="34">
        <f t="shared" si="7"/>
        <v>5805</v>
      </c>
    </row>
    <row r="99" spans="2:33" ht="12.75">
      <c r="B99" s="33" t="s">
        <v>39</v>
      </c>
      <c r="C99" s="34">
        <f>C72</f>
        <v>0</v>
      </c>
      <c r="D99" s="34">
        <f aca="true" t="shared" si="8" ref="D99:AG99">D72</f>
        <v>0</v>
      </c>
      <c r="E99" s="34">
        <f t="shared" si="8"/>
        <v>0</v>
      </c>
      <c r="F99" s="34">
        <f t="shared" si="8"/>
        <v>0</v>
      </c>
      <c r="G99" s="34">
        <f t="shared" si="8"/>
        <v>0</v>
      </c>
      <c r="H99" s="34">
        <f t="shared" si="8"/>
        <v>0</v>
      </c>
      <c r="I99" s="34">
        <f t="shared" si="8"/>
        <v>0</v>
      </c>
      <c r="J99" s="34">
        <f t="shared" si="8"/>
        <v>0</v>
      </c>
      <c r="K99" s="34">
        <f t="shared" si="8"/>
        <v>0</v>
      </c>
      <c r="L99" s="34">
        <f t="shared" si="8"/>
        <v>0</v>
      </c>
      <c r="M99" s="34">
        <f t="shared" si="8"/>
        <v>0</v>
      </c>
      <c r="N99" s="34">
        <f t="shared" si="8"/>
        <v>0</v>
      </c>
      <c r="O99" s="34">
        <f t="shared" si="8"/>
        <v>0</v>
      </c>
      <c r="P99" s="34">
        <f t="shared" si="8"/>
        <v>0</v>
      </c>
      <c r="Q99" s="34">
        <f t="shared" si="8"/>
        <v>0</v>
      </c>
      <c r="R99" s="34">
        <f t="shared" si="8"/>
        <v>0</v>
      </c>
      <c r="S99" s="34">
        <f t="shared" si="8"/>
        <v>0</v>
      </c>
      <c r="T99" s="34">
        <f t="shared" si="8"/>
        <v>0</v>
      </c>
      <c r="U99" s="34">
        <f t="shared" si="8"/>
        <v>0</v>
      </c>
      <c r="V99" s="34">
        <f t="shared" si="8"/>
        <v>0</v>
      </c>
      <c r="W99" s="34">
        <f t="shared" si="8"/>
        <v>0</v>
      </c>
      <c r="X99" s="34">
        <f t="shared" si="8"/>
        <v>0</v>
      </c>
      <c r="Y99" s="34">
        <f t="shared" si="8"/>
        <v>0</v>
      </c>
      <c r="Z99" s="34">
        <f t="shared" si="8"/>
        <v>42</v>
      </c>
      <c r="AA99" s="34">
        <f t="shared" si="8"/>
        <v>94</v>
      </c>
      <c r="AB99" s="34">
        <f t="shared" si="8"/>
        <v>115</v>
      </c>
      <c r="AC99" s="34">
        <f t="shared" si="8"/>
        <v>140</v>
      </c>
      <c r="AD99" s="34">
        <f t="shared" si="8"/>
        <v>230</v>
      </c>
      <c r="AE99" s="34">
        <f t="shared" si="8"/>
        <v>251</v>
      </c>
      <c r="AF99" s="34">
        <f t="shared" si="8"/>
        <v>284</v>
      </c>
      <c r="AG99" s="34">
        <f t="shared" si="8"/>
        <v>308</v>
      </c>
    </row>
    <row r="100" spans="2:33" ht="12.75">
      <c r="B100" s="33" t="s">
        <v>29</v>
      </c>
      <c r="C100" s="34">
        <f>SUM(C73:C75)</f>
        <v>1575</v>
      </c>
      <c r="D100" s="34">
        <f aca="true" t="shared" si="9" ref="D100:AG100">SUM(D73:D75)</f>
        <v>1510</v>
      </c>
      <c r="E100" s="34">
        <f t="shared" si="9"/>
        <v>1619</v>
      </c>
      <c r="F100" s="34">
        <f t="shared" si="9"/>
        <v>1599</v>
      </c>
      <c r="G100" s="34">
        <f t="shared" si="9"/>
        <v>1687</v>
      </c>
      <c r="H100" s="34">
        <f t="shared" si="9"/>
        <v>1682</v>
      </c>
      <c r="I100" s="34">
        <f t="shared" si="9"/>
        <v>1628</v>
      </c>
      <c r="J100" s="34">
        <f t="shared" si="9"/>
        <v>1434</v>
      </c>
      <c r="K100" s="34">
        <f t="shared" si="9"/>
        <v>2004</v>
      </c>
      <c r="L100" s="34">
        <f t="shared" si="9"/>
        <v>1654</v>
      </c>
      <c r="M100" s="34">
        <f t="shared" si="9"/>
        <v>1763</v>
      </c>
      <c r="N100" s="34">
        <f t="shared" si="9"/>
        <v>1741</v>
      </c>
      <c r="O100" s="34">
        <f t="shared" si="9"/>
        <v>1655</v>
      </c>
      <c r="P100" s="34">
        <f t="shared" si="9"/>
        <v>1697</v>
      </c>
      <c r="Q100" s="34">
        <f t="shared" si="9"/>
        <v>1665</v>
      </c>
      <c r="R100" s="34">
        <f t="shared" si="9"/>
        <v>1695</v>
      </c>
      <c r="S100" s="34">
        <f t="shared" si="9"/>
        <v>1693</v>
      </c>
      <c r="T100" s="34">
        <f t="shared" si="9"/>
        <v>1768</v>
      </c>
      <c r="U100" s="34">
        <f t="shared" si="9"/>
        <v>1654</v>
      </c>
      <c r="V100" s="34">
        <f t="shared" si="9"/>
        <v>1622</v>
      </c>
      <c r="W100" s="34">
        <f t="shared" si="9"/>
        <v>1804</v>
      </c>
      <c r="X100" s="34">
        <f t="shared" si="9"/>
        <v>1594</v>
      </c>
      <c r="Y100" s="34">
        <f t="shared" si="9"/>
        <v>1790</v>
      </c>
      <c r="Z100" s="34">
        <f t="shared" si="9"/>
        <v>1721</v>
      </c>
      <c r="AA100" s="34">
        <f t="shared" si="9"/>
        <v>1590</v>
      </c>
      <c r="AB100" s="34">
        <f t="shared" si="9"/>
        <v>1650</v>
      </c>
      <c r="AC100" s="34">
        <f t="shared" si="9"/>
        <v>1541</v>
      </c>
      <c r="AD100" s="34">
        <f t="shared" si="9"/>
        <v>1699</v>
      </c>
      <c r="AE100" s="34">
        <f t="shared" si="9"/>
        <v>1645</v>
      </c>
      <c r="AF100" s="34">
        <f t="shared" si="9"/>
        <v>1532</v>
      </c>
      <c r="AG100" s="34">
        <f t="shared" si="9"/>
        <v>1702</v>
      </c>
    </row>
    <row r="101" spans="2:33" ht="12.75">
      <c r="B101" s="33" t="s">
        <v>30</v>
      </c>
      <c r="C101" s="34">
        <f>SUM(C76:C79)</f>
        <v>5768</v>
      </c>
      <c r="D101" s="34">
        <f aca="true" t="shared" si="10" ref="D101:AG101">SUM(D76:D79)</f>
        <v>5551</v>
      </c>
      <c r="E101" s="34">
        <f t="shared" si="10"/>
        <v>5881</v>
      </c>
      <c r="F101" s="34">
        <f t="shared" si="10"/>
        <v>5794</v>
      </c>
      <c r="G101" s="34">
        <f t="shared" si="10"/>
        <v>6153</v>
      </c>
      <c r="H101" s="34">
        <f t="shared" si="10"/>
        <v>6240</v>
      </c>
      <c r="I101" s="34">
        <f t="shared" si="10"/>
        <v>6052</v>
      </c>
      <c r="J101" s="34">
        <f t="shared" si="10"/>
        <v>5386</v>
      </c>
      <c r="K101" s="34">
        <f t="shared" si="10"/>
        <v>7455</v>
      </c>
      <c r="L101" s="34">
        <f t="shared" si="10"/>
        <v>6450</v>
      </c>
      <c r="M101" s="34">
        <f t="shared" si="10"/>
        <v>6800</v>
      </c>
      <c r="N101" s="34">
        <f t="shared" si="10"/>
        <v>6654</v>
      </c>
      <c r="O101" s="34">
        <f t="shared" si="10"/>
        <v>6478</v>
      </c>
      <c r="P101" s="34">
        <f t="shared" si="10"/>
        <v>6673</v>
      </c>
      <c r="Q101" s="34">
        <f t="shared" si="10"/>
        <v>6543</v>
      </c>
      <c r="R101" s="34">
        <f t="shared" si="10"/>
        <v>6501</v>
      </c>
      <c r="S101" s="34">
        <f t="shared" si="10"/>
        <v>6920</v>
      </c>
      <c r="T101" s="34">
        <f t="shared" si="10"/>
        <v>7161</v>
      </c>
      <c r="U101" s="34">
        <f t="shared" si="10"/>
        <v>6801</v>
      </c>
      <c r="V101" s="34">
        <f t="shared" si="10"/>
        <v>6707</v>
      </c>
      <c r="W101" s="34">
        <f t="shared" si="10"/>
        <v>7407</v>
      </c>
      <c r="X101" s="34">
        <f t="shared" si="10"/>
        <v>6521</v>
      </c>
      <c r="Y101" s="34">
        <f t="shared" si="10"/>
        <v>7607</v>
      </c>
      <c r="Z101" s="34">
        <f t="shared" si="10"/>
        <v>7346</v>
      </c>
      <c r="AA101" s="34">
        <f t="shared" si="10"/>
        <v>6922</v>
      </c>
      <c r="AB101" s="34">
        <f t="shared" si="10"/>
        <v>7356</v>
      </c>
      <c r="AC101" s="34">
        <f t="shared" si="10"/>
        <v>6854</v>
      </c>
      <c r="AD101" s="34">
        <f t="shared" si="10"/>
        <v>7654</v>
      </c>
      <c r="AE101" s="34">
        <f t="shared" si="10"/>
        <v>7357</v>
      </c>
      <c r="AF101" s="34">
        <f t="shared" si="10"/>
        <v>7065</v>
      </c>
      <c r="AG101" s="34">
        <f t="shared" si="10"/>
        <v>8104</v>
      </c>
    </row>
    <row r="102" spans="2:33" ht="12.75">
      <c r="B102" s="33" t="s">
        <v>31</v>
      </c>
      <c r="C102" s="34">
        <f>SUM(C80:C82)</f>
        <v>677</v>
      </c>
      <c r="D102" s="34">
        <f aca="true" t="shared" si="11" ref="D102:AG102">SUM(D80:D82)</f>
        <v>668</v>
      </c>
      <c r="E102" s="34">
        <f t="shared" si="11"/>
        <v>745</v>
      </c>
      <c r="F102" s="34">
        <f t="shared" si="11"/>
        <v>815</v>
      </c>
      <c r="G102" s="34">
        <f t="shared" si="11"/>
        <v>967</v>
      </c>
      <c r="H102" s="34">
        <f t="shared" si="11"/>
        <v>1000</v>
      </c>
      <c r="I102" s="34">
        <f t="shared" si="11"/>
        <v>1004</v>
      </c>
      <c r="J102" s="34">
        <f t="shared" si="11"/>
        <v>907</v>
      </c>
      <c r="K102" s="34">
        <f t="shared" si="11"/>
        <v>1280</v>
      </c>
      <c r="L102" s="34">
        <f t="shared" si="11"/>
        <v>1132</v>
      </c>
      <c r="M102" s="34">
        <f t="shared" si="11"/>
        <v>1260</v>
      </c>
      <c r="N102" s="34">
        <f t="shared" si="11"/>
        <v>1243</v>
      </c>
      <c r="O102" s="34">
        <f t="shared" si="11"/>
        <v>1224</v>
      </c>
      <c r="P102" s="34">
        <f t="shared" si="11"/>
        <v>1290</v>
      </c>
      <c r="Q102" s="34">
        <f t="shared" si="11"/>
        <v>1264</v>
      </c>
      <c r="R102" s="34">
        <f t="shared" si="11"/>
        <v>1270</v>
      </c>
      <c r="S102" s="34">
        <f t="shared" si="11"/>
        <v>1381</v>
      </c>
      <c r="T102" s="34">
        <f t="shared" si="11"/>
        <v>1477</v>
      </c>
      <c r="U102" s="34">
        <f t="shared" si="11"/>
        <v>1432</v>
      </c>
      <c r="V102" s="34">
        <f t="shared" si="11"/>
        <v>1590</v>
      </c>
      <c r="W102" s="34">
        <f t="shared" si="11"/>
        <v>2003</v>
      </c>
      <c r="X102" s="34">
        <f t="shared" si="11"/>
        <v>1897</v>
      </c>
      <c r="Y102" s="34">
        <f t="shared" si="11"/>
        <v>2280</v>
      </c>
      <c r="Z102" s="34">
        <f t="shared" si="11"/>
        <v>2493</v>
      </c>
      <c r="AA102" s="34">
        <f t="shared" si="11"/>
        <v>2517</v>
      </c>
      <c r="AB102" s="34">
        <f t="shared" si="11"/>
        <v>2664</v>
      </c>
      <c r="AC102" s="34">
        <f t="shared" si="11"/>
        <v>2658</v>
      </c>
      <c r="AD102" s="34">
        <f t="shared" si="11"/>
        <v>3179</v>
      </c>
      <c r="AE102" s="34">
        <f t="shared" si="11"/>
        <v>3147</v>
      </c>
      <c r="AF102" s="34">
        <f t="shared" si="11"/>
        <v>3152</v>
      </c>
      <c r="AG102" s="34">
        <f t="shared" si="11"/>
        <v>3702</v>
      </c>
    </row>
    <row r="103" spans="2:33" ht="12.75">
      <c r="B103" s="33" t="s">
        <v>32</v>
      </c>
      <c r="C103" s="34">
        <f>C83</f>
        <v>0</v>
      </c>
      <c r="D103" s="34">
        <f aca="true" t="shared" si="12" ref="D103:AG103">D83</f>
        <v>0</v>
      </c>
      <c r="E103" s="34">
        <f t="shared" si="12"/>
        <v>0</v>
      </c>
      <c r="F103" s="34">
        <f t="shared" si="12"/>
        <v>0</v>
      </c>
      <c r="G103" s="34">
        <f t="shared" si="12"/>
        <v>0</v>
      </c>
      <c r="H103" s="34">
        <f t="shared" si="12"/>
        <v>0</v>
      </c>
      <c r="I103" s="34">
        <f t="shared" si="12"/>
        <v>43</v>
      </c>
      <c r="J103" s="34">
        <f t="shared" si="12"/>
        <v>143</v>
      </c>
      <c r="K103" s="34">
        <f t="shared" si="12"/>
        <v>358</v>
      </c>
      <c r="L103" s="34">
        <f t="shared" si="12"/>
        <v>458</v>
      </c>
      <c r="M103" s="34">
        <f t="shared" si="12"/>
        <v>582</v>
      </c>
      <c r="N103" s="34">
        <f t="shared" si="12"/>
        <v>623</v>
      </c>
      <c r="O103" s="34">
        <f t="shared" si="12"/>
        <v>625</v>
      </c>
      <c r="P103" s="34">
        <f t="shared" si="12"/>
        <v>694</v>
      </c>
      <c r="Q103" s="34">
        <f t="shared" si="12"/>
        <v>721</v>
      </c>
      <c r="R103" s="34">
        <f t="shared" si="12"/>
        <v>754</v>
      </c>
      <c r="S103" s="34">
        <f t="shared" si="12"/>
        <v>805</v>
      </c>
      <c r="T103" s="34">
        <f t="shared" si="12"/>
        <v>901</v>
      </c>
      <c r="U103" s="34">
        <f t="shared" si="12"/>
        <v>885</v>
      </c>
      <c r="V103" s="34">
        <f t="shared" si="12"/>
        <v>851</v>
      </c>
      <c r="W103" s="34">
        <f t="shared" si="12"/>
        <v>962</v>
      </c>
      <c r="X103" s="34">
        <f t="shared" si="12"/>
        <v>883</v>
      </c>
      <c r="Y103" s="34">
        <f t="shared" si="12"/>
        <v>979</v>
      </c>
      <c r="Z103" s="34">
        <f t="shared" si="12"/>
        <v>948</v>
      </c>
      <c r="AA103" s="34">
        <f t="shared" si="12"/>
        <v>869</v>
      </c>
      <c r="AB103" s="34">
        <f t="shared" si="12"/>
        <v>962</v>
      </c>
      <c r="AC103" s="34">
        <f t="shared" si="12"/>
        <v>898</v>
      </c>
      <c r="AD103" s="34">
        <f t="shared" si="12"/>
        <v>1052</v>
      </c>
      <c r="AE103" s="34">
        <f t="shared" si="12"/>
        <v>1025</v>
      </c>
      <c r="AF103" s="34">
        <f t="shared" si="12"/>
        <v>977</v>
      </c>
      <c r="AG103" s="34">
        <f t="shared" si="12"/>
        <v>1151</v>
      </c>
    </row>
    <row r="104" spans="2:33" ht="12.75">
      <c r="B104" s="33" t="s">
        <v>33</v>
      </c>
      <c r="C104" s="34">
        <f>SUM(C84:C85)</f>
        <v>0</v>
      </c>
      <c r="D104" s="34">
        <f aca="true" t="shared" si="13" ref="D104:AG104">SUM(D84:D85)</f>
        <v>0</v>
      </c>
      <c r="E104" s="34">
        <f t="shared" si="13"/>
        <v>0</v>
      </c>
      <c r="F104" s="34">
        <f t="shared" si="13"/>
        <v>0</v>
      </c>
      <c r="G104" s="34">
        <f t="shared" si="13"/>
        <v>0</v>
      </c>
      <c r="H104" s="34">
        <f t="shared" si="13"/>
        <v>0</v>
      </c>
      <c r="I104" s="34">
        <f t="shared" si="13"/>
        <v>0</v>
      </c>
      <c r="J104" s="34">
        <f t="shared" si="13"/>
        <v>0</v>
      </c>
      <c r="K104" s="34">
        <f t="shared" si="13"/>
        <v>0</v>
      </c>
      <c r="L104" s="34">
        <f t="shared" si="13"/>
        <v>0</v>
      </c>
      <c r="M104" s="34">
        <f t="shared" si="13"/>
        <v>0</v>
      </c>
      <c r="N104" s="34">
        <f t="shared" si="13"/>
        <v>0</v>
      </c>
      <c r="O104" s="34">
        <f t="shared" si="13"/>
        <v>0</v>
      </c>
      <c r="P104" s="34">
        <f t="shared" si="13"/>
        <v>0</v>
      </c>
      <c r="Q104" s="34">
        <f t="shared" si="13"/>
        <v>0</v>
      </c>
      <c r="R104" s="34">
        <f t="shared" si="13"/>
        <v>0</v>
      </c>
      <c r="S104" s="34">
        <f t="shared" si="13"/>
        <v>0</v>
      </c>
      <c r="T104" s="34">
        <f t="shared" si="13"/>
        <v>0</v>
      </c>
      <c r="U104" s="34">
        <f t="shared" si="13"/>
        <v>14</v>
      </c>
      <c r="V104" s="34">
        <f t="shared" si="13"/>
        <v>83</v>
      </c>
      <c r="W104" s="34">
        <f t="shared" si="13"/>
        <v>146</v>
      </c>
      <c r="X104" s="34">
        <f t="shared" si="13"/>
        <v>179</v>
      </c>
      <c r="Y104" s="34">
        <f t="shared" si="13"/>
        <v>232</v>
      </c>
      <c r="Z104" s="34">
        <f t="shared" si="13"/>
        <v>291</v>
      </c>
      <c r="AA104" s="34">
        <f t="shared" si="13"/>
        <v>293</v>
      </c>
      <c r="AB104" s="34">
        <f t="shared" si="13"/>
        <v>363</v>
      </c>
      <c r="AC104" s="34">
        <f t="shared" si="13"/>
        <v>358</v>
      </c>
      <c r="AD104" s="34">
        <f t="shared" si="13"/>
        <v>467</v>
      </c>
      <c r="AE104" s="34">
        <f t="shared" si="13"/>
        <v>495</v>
      </c>
      <c r="AF104" s="34">
        <f t="shared" si="13"/>
        <v>507</v>
      </c>
      <c r="AG104" s="34">
        <f t="shared" si="13"/>
        <v>654</v>
      </c>
    </row>
    <row r="105" spans="2:33" ht="12.75">
      <c r="B105" s="33" t="s">
        <v>34</v>
      </c>
      <c r="C105" s="34">
        <f>C86</f>
        <v>80</v>
      </c>
      <c r="D105" s="34">
        <f aca="true" t="shared" si="14" ref="D105:AG105">D86</f>
        <v>77</v>
      </c>
      <c r="E105" s="34">
        <f t="shared" si="14"/>
        <v>77</v>
      </c>
      <c r="F105" s="34">
        <f t="shared" si="14"/>
        <v>76</v>
      </c>
      <c r="G105" s="34">
        <f t="shared" si="14"/>
        <v>86</v>
      </c>
      <c r="H105" s="34">
        <f t="shared" si="14"/>
        <v>91</v>
      </c>
      <c r="I105" s="34">
        <f t="shared" si="14"/>
        <v>81</v>
      </c>
      <c r="J105" s="34">
        <f t="shared" si="14"/>
        <v>69</v>
      </c>
      <c r="K105" s="34">
        <f t="shared" si="14"/>
        <v>81</v>
      </c>
      <c r="L105" s="34">
        <f t="shared" si="14"/>
        <v>67</v>
      </c>
      <c r="M105" s="34">
        <f t="shared" si="14"/>
        <v>80</v>
      </c>
      <c r="N105" s="34">
        <f t="shared" si="14"/>
        <v>74</v>
      </c>
      <c r="O105" s="34">
        <f t="shared" si="14"/>
        <v>66</v>
      </c>
      <c r="P105" s="34">
        <f t="shared" si="14"/>
        <v>80</v>
      </c>
      <c r="Q105" s="34">
        <f t="shared" si="14"/>
        <v>77</v>
      </c>
      <c r="R105" s="34">
        <f t="shared" si="14"/>
        <v>84</v>
      </c>
      <c r="S105" s="34">
        <f t="shared" si="14"/>
        <v>75</v>
      </c>
      <c r="T105" s="34">
        <f t="shared" si="14"/>
        <v>85</v>
      </c>
      <c r="U105" s="34">
        <f t="shared" si="14"/>
        <v>68</v>
      </c>
      <c r="V105" s="34">
        <f t="shared" si="14"/>
        <v>75</v>
      </c>
      <c r="W105" s="34">
        <f t="shared" si="14"/>
        <v>70</v>
      </c>
      <c r="X105" s="34">
        <f t="shared" si="14"/>
        <v>59</v>
      </c>
      <c r="Y105" s="34">
        <f t="shared" si="14"/>
        <v>80</v>
      </c>
      <c r="Z105" s="34">
        <f t="shared" si="14"/>
        <v>66</v>
      </c>
      <c r="AA105" s="34">
        <f t="shared" si="14"/>
        <v>69</v>
      </c>
      <c r="AB105" s="34">
        <f t="shared" si="14"/>
        <v>63</v>
      </c>
      <c r="AC105" s="34">
        <f t="shared" si="14"/>
        <v>62</v>
      </c>
      <c r="AD105" s="34">
        <f t="shared" si="14"/>
        <v>92</v>
      </c>
      <c r="AE105" s="34">
        <f t="shared" si="14"/>
        <v>63</v>
      </c>
      <c r="AF105" s="34">
        <f t="shared" si="14"/>
        <v>57</v>
      </c>
      <c r="AG105" s="34">
        <f t="shared" si="14"/>
        <v>80</v>
      </c>
    </row>
    <row r="106" spans="2:33" ht="12.75">
      <c r="B106" s="33" t="s">
        <v>35</v>
      </c>
      <c r="C106" s="34">
        <f>SUM(C88:C93)</f>
        <v>5181</v>
      </c>
      <c r="D106" s="34">
        <f aca="true" t="shared" si="15" ref="D106:AG106">SUM(D88:D93)</f>
        <v>5014</v>
      </c>
      <c r="E106" s="34">
        <f t="shared" si="15"/>
        <v>5156</v>
      </c>
      <c r="F106" s="34">
        <f t="shared" si="15"/>
        <v>4984</v>
      </c>
      <c r="G106" s="34">
        <f t="shared" si="15"/>
        <v>5246</v>
      </c>
      <c r="H106" s="34">
        <f t="shared" si="15"/>
        <v>5289</v>
      </c>
      <c r="I106" s="34">
        <f t="shared" si="15"/>
        <v>4928</v>
      </c>
      <c r="J106" s="34">
        <f t="shared" si="15"/>
        <v>4393</v>
      </c>
      <c r="K106" s="34">
        <f t="shared" si="15"/>
        <v>5833</v>
      </c>
      <c r="L106" s="34">
        <f t="shared" si="15"/>
        <v>5003</v>
      </c>
      <c r="M106" s="34">
        <f t="shared" si="15"/>
        <v>5196</v>
      </c>
      <c r="N106" s="34">
        <f t="shared" si="15"/>
        <v>5149</v>
      </c>
      <c r="O106" s="34">
        <f t="shared" si="15"/>
        <v>5014</v>
      </c>
      <c r="P106" s="34">
        <f t="shared" si="15"/>
        <v>5131</v>
      </c>
      <c r="Q106" s="34">
        <f t="shared" si="15"/>
        <v>5037</v>
      </c>
      <c r="R106" s="34">
        <f t="shared" si="15"/>
        <v>5113</v>
      </c>
      <c r="S106" s="34">
        <f t="shared" si="15"/>
        <v>5152</v>
      </c>
      <c r="T106" s="34">
        <f t="shared" si="15"/>
        <v>5311</v>
      </c>
      <c r="U106" s="34">
        <f t="shared" si="15"/>
        <v>4963</v>
      </c>
      <c r="V106" s="34">
        <f t="shared" si="15"/>
        <v>4811</v>
      </c>
      <c r="W106" s="34">
        <f t="shared" si="15"/>
        <v>5334</v>
      </c>
      <c r="X106" s="34">
        <f t="shared" si="15"/>
        <v>4618</v>
      </c>
      <c r="Y106" s="34">
        <f t="shared" si="15"/>
        <v>5321</v>
      </c>
      <c r="Z106" s="34">
        <f t="shared" si="15"/>
        <v>5045</v>
      </c>
      <c r="AA106" s="34">
        <f t="shared" si="15"/>
        <v>4802</v>
      </c>
      <c r="AB106" s="34">
        <f t="shared" si="15"/>
        <v>5058</v>
      </c>
      <c r="AC106" s="34">
        <f t="shared" si="15"/>
        <v>4613</v>
      </c>
      <c r="AD106" s="34">
        <f t="shared" si="15"/>
        <v>5184</v>
      </c>
      <c r="AE106" s="34">
        <f t="shared" si="15"/>
        <v>4884</v>
      </c>
      <c r="AF106" s="34">
        <f t="shared" si="15"/>
        <v>4515</v>
      </c>
      <c r="AG106" s="34">
        <f t="shared" si="15"/>
        <v>5174</v>
      </c>
    </row>
    <row r="107" spans="2:33" ht="13.5" thickBot="1">
      <c r="B107" s="35" t="s">
        <v>72</v>
      </c>
      <c r="C107" s="36">
        <f>C94</f>
        <v>0</v>
      </c>
      <c r="D107" s="36">
        <f aca="true" t="shared" si="16" ref="D107:AG107">D94</f>
        <v>0</v>
      </c>
      <c r="E107" s="36">
        <f t="shared" si="16"/>
        <v>0</v>
      </c>
      <c r="F107" s="36">
        <f t="shared" si="16"/>
        <v>0</v>
      </c>
      <c r="G107" s="36">
        <f t="shared" si="16"/>
        <v>0</v>
      </c>
      <c r="H107" s="36">
        <f t="shared" si="16"/>
        <v>0</v>
      </c>
      <c r="I107" s="36">
        <f t="shared" si="16"/>
        <v>0</v>
      </c>
      <c r="J107" s="36">
        <f t="shared" si="16"/>
        <v>0</v>
      </c>
      <c r="K107" s="36">
        <f t="shared" si="16"/>
        <v>0</v>
      </c>
      <c r="L107" s="36">
        <f t="shared" si="16"/>
        <v>0</v>
      </c>
      <c r="M107" s="36">
        <f t="shared" si="16"/>
        <v>0</v>
      </c>
      <c r="N107" s="36">
        <f t="shared" si="16"/>
        <v>0</v>
      </c>
      <c r="O107" s="36">
        <f t="shared" si="16"/>
        <v>0</v>
      </c>
      <c r="P107" s="36">
        <f t="shared" si="16"/>
        <v>0</v>
      </c>
      <c r="Q107" s="36">
        <f t="shared" si="16"/>
        <v>0</v>
      </c>
      <c r="R107" s="36">
        <f t="shared" si="16"/>
        <v>0</v>
      </c>
      <c r="S107" s="36">
        <f t="shared" si="16"/>
        <v>0</v>
      </c>
      <c r="T107" s="36">
        <f t="shared" si="16"/>
        <v>0</v>
      </c>
      <c r="U107" s="36">
        <f t="shared" si="16"/>
        <v>0</v>
      </c>
      <c r="V107" s="36">
        <f t="shared" si="16"/>
        <v>0</v>
      </c>
      <c r="W107" s="36">
        <f t="shared" si="16"/>
        <v>0</v>
      </c>
      <c r="X107" s="36">
        <f t="shared" si="16"/>
        <v>0</v>
      </c>
      <c r="Y107" s="36">
        <f t="shared" si="16"/>
        <v>0</v>
      </c>
      <c r="Z107" s="36">
        <f t="shared" si="16"/>
        <v>0</v>
      </c>
      <c r="AA107" s="36">
        <f t="shared" si="16"/>
        <v>0</v>
      </c>
      <c r="AB107" s="36">
        <f t="shared" si="16"/>
        <v>0</v>
      </c>
      <c r="AC107" s="36">
        <f t="shared" si="16"/>
        <v>0</v>
      </c>
      <c r="AD107" s="36">
        <f t="shared" si="16"/>
        <v>0</v>
      </c>
      <c r="AE107" s="36">
        <f t="shared" si="16"/>
        <v>0</v>
      </c>
      <c r="AF107" s="36">
        <f t="shared" si="16"/>
        <v>0</v>
      </c>
      <c r="AG107" s="36">
        <f t="shared" si="16"/>
        <v>15</v>
      </c>
    </row>
    <row r="108" spans="2:33" ht="13.5" thickTop="1">
      <c r="B108" s="37" t="s">
        <v>36</v>
      </c>
      <c r="C108" s="48">
        <f>SUM(C97:C107)</f>
        <v>24484</v>
      </c>
      <c r="D108" s="48">
        <f aca="true" t="shared" si="17" ref="D108:AG108">SUM(D97:D107)</f>
        <v>23549</v>
      </c>
      <c r="E108" s="48">
        <f t="shared" si="17"/>
        <v>24712</v>
      </c>
      <c r="F108" s="48">
        <f t="shared" si="17"/>
        <v>24111</v>
      </c>
      <c r="G108" s="48">
        <f t="shared" si="17"/>
        <v>25583</v>
      </c>
      <c r="H108" s="48">
        <f t="shared" si="17"/>
        <v>25778</v>
      </c>
      <c r="I108" s="48">
        <f t="shared" si="17"/>
        <v>24601</v>
      </c>
      <c r="J108" s="48">
        <f t="shared" si="17"/>
        <v>22008</v>
      </c>
      <c r="K108" s="48">
        <f t="shared" si="17"/>
        <v>29720</v>
      </c>
      <c r="L108" s="48">
        <f t="shared" si="17"/>
        <v>25663</v>
      </c>
      <c r="M108" s="48">
        <f t="shared" si="17"/>
        <v>27243</v>
      </c>
      <c r="N108" s="48">
        <f t="shared" si="17"/>
        <v>26593</v>
      </c>
      <c r="O108" s="48">
        <f t="shared" si="17"/>
        <v>25860</v>
      </c>
      <c r="P108" s="48">
        <f t="shared" si="17"/>
        <v>26656</v>
      </c>
      <c r="Q108" s="48">
        <f t="shared" si="17"/>
        <v>26079</v>
      </c>
      <c r="R108" s="48">
        <f t="shared" si="17"/>
        <v>26098</v>
      </c>
      <c r="S108" s="48">
        <f t="shared" si="17"/>
        <v>26981</v>
      </c>
      <c r="T108" s="48">
        <f t="shared" si="17"/>
        <v>27711</v>
      </c>
      <c r="U108" s="48">
        <f t="shared" si="17"/>
        <v>26319</v>
      </c>
      <c r="V108" s="48">
        <f t="shared" si="17"/>
        <v>25929</v>
      </c>
      <c r="W108" s="48">
        <f t="shared" si="17"/>
        <v>28838</v>
      </c>
      <c r="X108" s="48">
        <f t="shared" si="17"/>
        <v>25445</v>
      </c>
      <c r="Y108" s="48">
        <f t="shared" si="17"/>
        <v>29391</v>
      </c>
      <c r="Z108" s="48">
        <f t="shared" si="17"/>
        <v>28597</v>
      </c>
      <c r="AA108" s="48">
        <f t="shared" si="17"/>
        <v>26919</v>
      </c>
      <c r="AB108" s="48">
        <f t="shared" si="17"/>
        <v>28633</v>
      </c>
      <c r="AC108" s="48">
        <f t="shared" si="17"/>
        <v>26657</v>
      </c>
      <c r="AD108" s="48">
        <f t="shared" si="17"/>
        <v>30081</v>
      </c>
      <c r="AE108" s="48">
        <f t="shared" si="17"/>
        <v>28819</v>
      </c>
      <c r="AF108" s="48">
        <f t="shared" si="17"/>
        <v>27510</v>
      </c>
      <c r="AG108" s="48">
        <f t="shared" si="17"/>
        <v>31564</v>
      </c>
    </row>
    <row r="109" spans="2:33" s="14" customFormat="1" ht="13.5" thickBot="1">
      <c r="B109" s="49" t="s">
        <v>37</v>
      </c>
      <c r="C109" s="50">
        <f>SUM(C97:C99)</f>
        <v>11203</v>
      </c>
      <c r="D109" s="50">
        <f aca="true" t="shared" si="18" ref="D109:AG109">SUM(D97:D99)</f>
        <v>10729</v>
      </c>
      <c r="E109" s="50">
        <f t="shared" si="18"/>
        <v>11234</v>
      </c>
      <c r="F109" s="50">
        <f t="shared" si="18"/>
        <v>10843</v>
      </c>
      <c r="G109" s="50">
        <f t="shared" si="18"/>
        <v>11444</v>
      </c>
      <c r="H109" s="50">
        <f t="shared" si="18"/>
        <v>11476</v>
      </c>
      <c r="I109" s="50">
        <f t="shared" si="18"/>
        <v>10865</v>
      </c>
      <c r="J109" s="50">
        <f t="shared" si="18"/>
        <v>9676</v>
      </c>
      <c r="K109" s="50">
        <f t="shared" si="18"/>
        <v>12709</v>
      </c>
      <c r="L109" s="50">
        <f t="shared" si="18"/>
        <v>10899</v>
      </c>
      <c r="M109" s="50">
        <f t="shared" si="18"/>
        <v>11562</v>
      </c>
      <c r="N109" s="50">
        <f t="shared" si="18"/>
        <v>11109</v>
      </c>
      <c r="O109" s="50">
        <f t="shared" si="18"/>
        <v>10798</v>
      </c>
      <c r="P109" s="50">
        <f t="shared" si="18"/>
        <v>11091</v>
      </c>
      <c r="Q109" s="50">
        <f t="shared" si="18"/>
        <v>10772</v>
      </c>
      <c r="R109" s="50">
        <f t="shared" si="18"/>
        <v>10681</v>
      </c>
      <c r="S109" s="50">
        <f t="shared" si="18"/>
        <v>10955</v>
      </c>
      <c r="T109" s="50">
        <f t="shared" si="18"/>
        <v>11008</v>
      </c>
      <c r="U109" s="50">
        <f t="shared" si="18"/>
        <v>10502</v>
      </c>
      <c r="V109" s="50">
        <f t="shared" si="18"/>
        <v>10190</v>
      </c>
      <c r="W109" s="50">
        <f t="shared" si="18"/>
        <v>11112</v>
      </c>
      <c r="X109" s="50">
        <f t="shared" si="18"/>
        <v>9694</v>
      </c>
      <c r="Y109" s="50">
        <f t="shared" si="18"/>
        <v>11102</v>
      </c>
      <c r="Z109" s="50">
        <f t="shared" si="18"/>
        <v>10687</v>
      </c>
      <c r="AA109" s="50">
        <f t="shared" si="18"/>
        <v>9857</v>
      </c>
      <c r="AB109" s="50">
        <f t="shared" si="18"/>
        <v>10517</v>
      </c>
      <c r="AC109" s="50">
        <f t="shared" si="18"/>
        <v>9673</v>
      </c>
      <c r="AD109" s="50">
        <f t="shared" si="18"/>
        <v>10754</v>
      </c>
      <c r="AE109" s="50">
        <f t="shared" si="18"/>
        <v>10203</v>
      </c>
      <c r="AF109" s="50">
        <f t="shared" si="18"/>
        <v>9705</v>
      </c>
      <c r="AG109" s="50">
        <f t="shared" si="18"/>
        <v>10982</v>
      </c>
    </row>
    <row r="110" spans="2:33" s="14" customFormat="1" ht="13.5" thickTop="1">
      <c r="B110" s="1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2:33" s="14" customFormat="1" ht="12.75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2:33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2:33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spans="2:33" ht="13.5" thickBot="1">
      <c r="B114" s="42" t="s">
        <v>0</v>
      </c>
      <c r="C114" s="47">
        <v>38169</v>
      </c>
      <c r="D114" s="47">
        <v>38200</v>
      </c>
      <c r="E114" s="47">
        <v>38231</v>
      </c>
      <c r="F114" s="47">
        <v>38261</v>
      </c>
      <c r="G114" s="47">
        <v>38292</v>
      </c>
      <c r="H114" s="47">
        <v>38322</v>
      </c>
      <c r="I114" s="47">
        <v>38353</v>
      </c>
      <c r="J114" s="47">
        <v>38384</v>
      </c>
      <c r="K114" s="47">
        <v>38412</v>
      </c>
      <c r="L114" s="47">
        <v>38443</v>
      </c>
      <c r="M114" s="47">
        <v>38473</v>
      </c>
      <c r="N114" s="47">
        <v>38504</v>
      </c>
      <c r="O114" s="47">
        <v>38534</v>
      </c>
      <c r="P114" s="47">
        <v>38565</v>
      </c>
      <c r="Q114" s="47">
        <v>38596</v>
      </c>
      <c r="R114" s="47">
        <v>38626</v>
      </c>
      <c r="S114" s="47">
        <v>38657</v>
      </c>
      <c r="T114" s="47">
        <v>38687</v>
      </c>
      <c r="U114" s="47">
        <v>38718</v>
      </c>
      <c r="V114" s="47">
        <v>38749</v>
      </c>
      <c r="W114" s="47">
        <v>38777</v>
      </c>
      <c r="X114" s="47">
        <v>38808</v>
      </c>
      <c r="Y114" s="47">
        <v>38838</v>
      </c>
      <c r="Z114" s="47">
        <v>38869</v>
      </c>
      <c r="AA114" s="47">
        <v>38899</v>
      </c>
      <c r="AB114" s="47">
        <v>38930</v>
      </c>
      <c r="AC114" s="47">
        <v>38961</v>
      </c>
      <c r="AD114" s="47">
        <v>38991</v>
      </c>
      <c r="AE114" s="47">
        <v>39022</v>
      </c>
      <c r="AF114" s="47">
        <v>39052</v>
      </c>
      <c r="AG114" s="47">
        <v>39083</v>
      </c>
    </row>
    <row r="115" spans="2:33" ht="13.5" thickTop="1">
      <c r="B115" s="40" t="s">
        <v>27</v>
      </c>
      <c r="C115" s="43">
        <f aca="true" t="shared" si="19" ref="C115:C127">C97/C$108</f>
        <v>0.1969041006371508</v>
      </c>
      <c r="D115" s="43">
        <f aca="true" t="shared" si="20" ref="D115:AB115">D97/D$108</f>
        <v>0.19627160388976178</v>
      </c>
      <c r="E115" s="43">
        <f t="shared" si="20"/>
        <v>0.19415668501133052</v>
      </c>
      <c r="F115" s="43">
        <f t="shared" si="20"/>
        <v>0.19240180830326406</v>
      </c>
      <c r="G115" s="43">
        <f t="shared" si="20"/>
        <v>0.19059531720283002</v>
      </c>
      <c r="H115" s="43">
        <f t="shared" si="20"/>
        <v>0.19039491038870354</v>
      </c>
      <c r="I115" s="43">
        <f t="shared" si="20"/>
        <v>0.1891793016544043</v>
      </c>
      <c r="J115" s="43">
        <f t="shared" si="20"/>
        <v>0.18552344601962922</v>
      </c>
      <c r="K115" s="43">
        <f t="shared" si="20"/>
        <v>0.18277254374158816</v>
      </c>
      <c r="L115" s="43">
        <f t="shared" si="20"/>
        <v>0.17983088493161362</v>
      </c>
      <c r="M115" s="43">
        <f t="shared" si="20"/>
        <v>0.18056014389017364</v>
      </c>
      <c r="N115" s="43">
        <f t="shared" si="20"/>
        <v>0.1801601925318693</v>
      </c>
      <c r="O115" s="43">
        <f t="shared" si="20"/>
        <v>0.17981438515081208</v>
      </c>
      <c r="P115" s="43">
        <f t="shared" si="20"/>
        <v>0.18202280912364946</v>
      </c>
      <c r="Q115" s="43">
        <f t="shared" si="20"/>
        <v>0.17979983895088003</v>
      </c>
      <c r="R115" s="43">
        <f t="shared" si="20"/>
        <v>0.1792474519120239</v>
      </c>
      <c r="S115" s="43">
        <f t="shared" si="20"/>
        <v>0.17908898854749639</v>
      </c>
      <c r="T115" s="43">
        <f t="shared" si="20"/>
        <v>0.17567031142867454</v>
      </c>
      <c r="U115" s="43">
        <f t="shared" si="20"/>
        <v>0.1780462783540408</v>
      </c>
      <c r="V115" s="43">
        <f t="shared" si="20"/>
        <v>0.17524779204751437</v>
      </c>
      <c r="W115" s="43">
        <f t="shared" si="20"/>
        <v>0.1739024897704418</v>
      </c>
      <c r="X115" s="43">
        <f t="shared" si="20"/>
        <v>0.16800943210846925</v>
      </c>
      <c r="Y115" s="43">
        <f t="shared" si="20"/>
        <v>0.16879316797659147</v>
      </c>
      <c r="Z115" s="43">
        <f t="shared" si="20"/>
        <v>0.16701052557960624</v>
      </c>
      <c r="AA115" s="43">
        <f t="shared" si="20"/>
        <v>0.16293324417697538</v>
      </c>
      <c r="AB115" s="43">
        <f t="shared" si="20"/>
        <v>0.16411134006216604</v>
      </c>
      <c r="AC115" s="43">
        <f aca="true" t="shared" si="21" ref="AC115:AG124">AC97/AC$108</f>
        <v>0.1640844806242263</v>
      </c>
      <c r="AD115" s="43">
        <f t="shared" si="21"/>
        <v>0.15946943253216317</v>
      </c>
      <c r="AE115" s="43">
        <f t="shared" si="21"/>
        <v>0.15670217564801</v>
      </c>
      <c r="AF115" s="43">
        <f t="shared" si="21"/>
        <v>0.15725190839694655</v>
      </c>
      <c r="AG115" s="43">
        <f t="shared" si="21"/>
        <v>0.15425801546065138</v>
      </c>
    </row>
    <row r="116" spans="2:33" ht="12.75">
      <c r="B116" s="33" t="s">
        <v>28</v>
      </c>
      <c r="C116" s="38">
        <f t="shared" si="19"/>
        <v>0.26066002287207973</v>
      </c>
      <c r="D116" s="38">
        <f aca="true" t="shared" si="22" ref="D116:AB116">D98/D$108</f>
        <v>0.25933160643764064</v>
      </c>
      <c r="E116" s="38">
        <f t="shared" si="22"/>
        <v>0.2604402719326643</v>
      </c>
      <c r="F116" s="38">
        <f t="shared" si="22"/>
        <v>0.2573099415204678</v>
      </c>
      <c r="G116" s="38">
        <f t="shared" si="22"/>
        <v>0.256732986749013</v>
      </c>
      <c r="H116" s="38">
        <f t="shared" si="22"/>
        <v>0.2547909069749399</v>
      </c>
      <c r="I116" s="38">
        <f t="shared" si="22"/>
        <v>0.25246941181252797</v>
      </c>
      <c r="J116" s="38">
        <f t="shared" si="22"/>
        <v>0.2541348600508906</v>
      </c>
      <c r="K116" s="38">
        <f t="shared" si="22"/>
        <v>0.24485195154777928</v>
      </c>
      <c r="L116" s="38">
        <f t="shared" si="22"/>
        <v>0.24486614970969878</v>
      </c>
      <c r="M116" s="38">
        <f t="shared" si="22"/>
        <v>0.24384245494255405</v>
      </c>
      <c r="N116" s="38">
        <f t="shared" si="22"/>
        <v>0.23758131839205807</v>
      </c>
      <c r="O116" s="38">
        <f t="shared" si="22"/>
        <v>0.2377416860015468</v>
      </c>
      <c r="P116" s="38">
        <f t="shared" si="22"/>
        <v>0.23405612244897958</v>
      </c>
      <c r="Q116" s="38">
        <f t="shared" si="22"/>
        <v>0.23325280877334253</v>
      </c>
      <c r="R116" s="38">
        <f t="shared" si="22"/>
        <v>0.23001762587171432</v>
      </c>
      <c r="S116" s="38">
        <f t="shared" si="22"/>
        <v>0.22693747451910604</v>
      </c>
      <c r="T116" s="38">
        <f t="shared" si="22"/>
        <v>0.22157266067626574</v>
      </c>
      <c r="U116" s="38">
        <f t="shared" si="22"/>
        <v>0.2209810403130818</v>
      </c>
      <c r="V116" s="38">
        <f t="shared" si="22"/>
        <v>0.21774846696748815</v>
      </c>
      <c r="W116" s="38">
        <f t="shared" si="22"/>
        <v>0.21142242873985714</v>
      </c>
      <c r="X116" s="38">
        <f t="shared" si="22"/>
        <v>0.21296914914521517</v>
      </c>
      <c r="Y116" s="38">
        <f t="shared" si="22"/>
        <v>0.20894151270797182</v>
      </c>
      <c r="Z116" s="38">
        <f t="shared" si="22"/>
        <v>0.20523131797041647</v>
      </c>
      <c r="AA116" s="38">
        <f t="shared" si="22"/>
        <v>0.19974739031910546</v>
      </c>
      <c r="AB116" s="38">
        <f t="shared" si="22"/>
        <v>0.19917577620228408</v>
      </c>
      <c r="AC116" s="38">
        <f t="shared" si="21"/>
        <v>0.1935326555876505</v>
      </c>
      <c r="AD116" s="38">
        <f t="shared" si="21"/>
        <v>0.1903859579136332</v>
      </c>
      <c r="AE116" s="38">
        <f t="shared" si="21"/>
        <v>0.18862555952670113</v>
      </c>
      <c r="AF116" s="38">
        <f t="shared" si="21"/>
        <v>0.1852053798618684</v>
      </c>
      <c r="AG116" s="38">
        <f t="shared" si="21"/>
        <v>0.18391205170447344</v>
      </c>
    </row>
    <row r="117" spans="2:33" ht="12.75">
      <c r="B117" s="33" t="s">
        <v>39</v>
      </c>
      <c r="C117" s="38">
        <f t="shared" si="19"/>
        <v>0</v>
      </c>
      <c r="D117" s="38">
        <f aca="true" t="shared" si="23" ref="D117:AB117">D99/D$108</f>
        <v>0</v>
      </c>
      <c r="E117" s="38">
        <f t="shared" si="23"/>
        <v>0</v>
      </c>
      <c r="F117" s="38">
        <f t="shared" si="23"/>
        <v>0</v>
      </c>
      <c r="G117" s="38">
        <f t="shared" si="23"/>
        <v>0</v>
      </c>
      <c r="H117" s="38">
        <f t="shared" si="23"/>
        <v>0</v>
      </c>
      <c r="I117" s="38">
        <f t="shared" si="23"/>
        <v>0</v>
      </c>
      <c r="J117" s="38">
        <f t="shared" si="23"/>
        <v>0</v>
      </c>
      <c r="K117" s="38">
        <f t="shared" si="23"/>
        <v>0</v>
      </c>
      <c r="L117" s="38">
        <f t="shared" si="23"/>
        <v>0</v>
      </c>
      <c r="M117" s="38">
        <f t="shared" si="23"/>
        <v>0</v>
      </c>
      <c r="N117" s="38">
        <f t="shared" si="23"/>
        <v>0</v>
      </c>
      <c r="O117" s="38">
        <f t="shared" si="23"/>
        <v>0</v>
      </c>
      <c r="P117" s="38">
        <f t="shared" si="23"/>
        <v>0</v>
      </c>
      <c r="Q117" s="38">
        <f t="shared" si="23"/>
        <v>0</v>
      </c>
      <c r="R117" s="38">
        <f t="shared" si="23"/>
        <v>0</v>
      </c>
      <c r="S117" s="38">
        <f t="shared" si="23"/>
        <v>0</v>
      </c>
      <c r="T117" s="38">
        <f t="shared" si="23"/>
        <v>0</v>
      </c>
      <c r="U117" s="38">
        <f t="shared" si="23"/>
        <v>0</v>
      </c>
      <c r="V117" s="38">
        <f t="shared" si="23"/>
        <v>0</v>
      </c>
      <c r="W117" s="38">
        <f t="shared" si="23"/>
        <v>0</v>
      </c>
      <c r="X117" s="38">
        <f t="shared" si="23"/>
        <v>0</v>
      </c>
      <c r="Y117" s="38">
        <f t="shared" si="23"/>
        <v>0</v>
      </c>
      <c r="Z117" s="38">
        <f t="shared" si="23"/>
        <v>0.0014686855264538238</v>
      </c>
      <c r="AA117" s="38">
        <f t="shared" si="23"/>
        <v>0.003491957353542108</v>
      </c>
      <c r="AB117" s="38">
        <f t="shared" si="23"/>
        <v>0.0040163447770055535</v>
      </c>
      <c r="AC117" s="38">
        <f t="shared" si="21"/>
        <v>0.005251903815132986</v>
      </c>
      <c r="AD117" s="38">
        <f t="shared" si="21"/>
        <v>0.007646022406170008</v>
      </c>
      <c r="AE117" s="38">
        <f t="shared" si="21"/>
        <v>0.008709531906034214</v>
      </c>
      <c r="AF117" s="38">
        <f t="shared" si="21"/>
        <v>0.010323518720465285</v>
      </c>
      <c r="AG117" s="38">
        <f t="shared" si="21"/>
        <v>0.009757952097326068</v>
      </c>
    </row>
    <row r="118" spans="2:33" ht="12.75">
      <c r="B118" s="33" t="s">
        <v>29</v>
      </c>
      <c r="C118" s="38">
        <f t="shared" si="19"/>
        <v>0.0643277242280673</v>
      </c>
      <c r="D118" s="38">
        <f aca="true" t="shared" si="24" ref="D118:AB118">D100/D$108</f>
        <v>0.06412161875238864</v>
      </c>
      <c r="E118" s="38">
        <f t="shared" si="24"/>
        <v>0.06551472968598251</v>
      </c>
      <c r="F118" s="38">
        <f t="shared" si="24"/>
        <v>0.06631827796441458</v>
      </c>
      <c r="G118" s="38">
        <f t="shared" si="24"/>
        <v>0.06594222726029003</v>
      </c>
      <c r="H118" s="38">
        <f t="shared" si="24"/>
        <v>0.0652494375048491</v>
      </c>
      <c r="I118" s="38">
        <f t="shared" si="24"/>
        <v>0.06617617170033739</v>
      </c>
      <c r="J118" s="38">
        <f t="shared" si="24"/>
        <v>0.06515812431842966</v>
      </c>
      <c r="K118" s="38">
        <f t="shared" si="24"/>
        <v>0.0674293405114401</v>
      </c>
      <c r="L118" s="38">
        <f t="shared" si="24"/>
        <v>0.06445076569380041</v>
      </c>
      <c r="M118" s="38">
        <f t="shared" si="24"/>
        <v>0.06471387145321734</v>
      </c>
      <c r="N118" s="38">
        <f t="shared" si="24"/>
        <v>0.0654683563343737</v>
      </c>
      <c r="O118" s="38">
        <f t="shared" si="24"/>
        <v>0.0639984532095901</v>
      </c>
      <c r="P118" s="38">
        <f t="shared" si="24"/>
        <v>0.06366296518607444</v>
      </c>
      <c r="Q118" s="38">
        <f t="shared" si="24"/>
        <v>0.06384447256413206</v>
      </c>
      <c r="R118" s="38">
        <f t="shared" si="24"/>
        <v>0.0649475055559813</v>
      </c>
      <c r="S118" s="38">
        <f t="shared" si="24"/>
        <v>0.06274785960490716</v>
      </c>
      <c r="T118" s="38">
        <f t="shared" si="24"/>
        <v>0.06380137851394753</v>
      </c>
      <c r="U118" s="38">
        <f t="shared" si="24"/>
        <v>0.06284433299137505</v>
      </c>
      <c r="V118" s="38">
        <f t="shared" si="24"/>
        <v>0.06255543985498863</v>
      </c>
      <c r="W118" s="38">
        <f t="shared" si="24"/>
        <v>0.06255634926139123</v>
      </c>
      <c r="X118" s="38">
        <f t="shared" si="24"/>
        <v>0.06264492041658479</v>
      </c>
      <c r="Y118" s="38">
        <f t="shared" si="24"/>
        <v>0.06090299751624647</v>
      </c>
      <c r="Z118" s="38">
        <f t="shared" si="24"/>
        <v>0.06018113788159597</v>
      </c>
      <c r="AA118" s="38">
        <f t="shared" si="24"/>
        <v>0.05906608715033991</v>
      </c>
      <c r="AB118" s="38">
        <f t="shared" si="24"/>
        <v>0.05762581636573185</v>
      </c>
      <c r="AC118" s="38">
        <f t="shared" si="21"/>
        <v>0.057808455565142365</v>
      </c>
      <c r="AD118" s="38">
        <f t="shared" si="21"/>
        <v>0.056480835078621054</v>
      </c>
      <c r="AE118" s="38">
        <f t="shared" si="21"/>
        <v>0.05708039834831188</v>
      </c>
      <c r="AF118" s="38">
        <f t="shared" si="21"/>
        <v>0.05568884042166485</v>
      </c>
      <c r="AG118" s="38">
        <f t="shared" si="21"/>
        <v>0.05392218983652262</v>
      </c>
    </row>
    <row r="119" spans="2:33" ht="12.75">
      <c r="B119" s="33" t="s">
        <v>30</v>
      </c>
      <c r="C119" s="38">
        <f t="shared" si="19"/>
        <v>0.23558242117301095</v>
      </c>
      <c r="D119" s="38">
        <f aca="true" t="shared" si="25" ref="D119:AB119">D101/D$108</f>
        <v>0.23572126204934393</v>
      </c>
      <c r="E119" s="38">
        <f t="shared" si="25"/>
        <v>0.23798154742635158</v>
      </c>
      <c r="F119" s="38">
        <f t="shared" si="25"/>
        <v>0.24030525486292564</v>
      </c>
      <c r="G119" s="38">
        <f t="shared" si="25"/>
        <v>0.24051127701989602</v>
      </c>
      <c r="H119" s="38">
        <f t="shared" si="25"/>
        <v>0.24206687873380403</v>
      </c>
      <c r="I119" s="38">
        <f t="shared" si="25"/>
        <v>0.24600625990813382</v>
      </c>
      <c r="J119" s="38">
        <f t="shared" si="25"/>
        <v>0.24472918938567795</v>
      </c>
      <c r="K119" s="38">
        <f t="shared" si="25"/>
        <v>0.25084118438761777</v>
      </c>
      <c r="L119" s="38">
        <f t="shared" si="25"/>
        <v>0.25133460624245024</v>
      </c>
      <c r="M119" s="38">
        <f t="shared" si="25"/>
        <v>0.24960540322284624</v>
      </c>
      <c r="N119" s="38">
        <f t="shared" si="25"/>
        <v>0.2502162223141428</v>
      </c>
      <c r="O119" s="38">
        <f t="shared" si="25"/>
        <v>0.2505027068832173</v>
      </c>
      <c r="P119" s="38">
        <f t="shared" si="25"/>
        <v>0.2503376350540216</v>
      </c>
      <c r="Q119" s="38">
        <f t="shared" si="25"/>
        <v>0.25089152191418385</v>
      </c>
      <c r="R119" s="38">
        <f t="shared" si="25"/>
        <v>0.24909954785807342</v>
      </c>
      <c r="S119" s="38">
        <f t="shared" si="25"/>
        <v>0.2564767799562655</v>
      </c>
      <c r="T119" s="38">
        <f t="shared" si="25"/>
        <v>0.2584172350330194</v>
      </c>
      <c r="U119" s="38">
        <f t="shared" si="25"/>
        <v>0.258406474410122</v>
      </c>
      <c r="V119" s="38">
        <f t="shared" si="25"/>
        <v>0.2586679008060473</v>
      </c>
      <c r="W119" s="38">
        <f t="shared" si="25"/>
        <v>0.2568486025383175</v>
      </c>
      <c r="X119" s="38">
        <f t="shared" si="25"/>
        <v>0.2562782471998428</v>
      </c>
      <c r="Y119" s="38">
        <f t="shared" si="25"/>
        <v>0.2588207274335681</v>
      </c>
      <c r="Z119" s="38">
        <f t="shared" si="25"/>
        <v>0.25688009231737596</v>
      </c>
      <c r="AA119" s="38">
        <f t="shared" si="25"/>
        <v>0.2571417957576433</v>
      </c>
      <c r="AB119" s="38">
        <f t="shared" si="25"/>
        <v>0.25690636677959</v>
      </c>
      <c r="AC119" s="38">
        <f t="shared" si="21"/>
        <v>0.2571182053494392</v>
      </c>
      <c r="AD119" s="38">
        <f t="shared" si="21"/>
        <v>0.25444632824706626</v>
      </c>
      <c r="AE119" s="38">
        <f t="shared" si="21"/>
        <v>0.25528297303862035</v>
      </c>
      <c r="AF119" s="38">
        <f t="shared" si="21"/>
        <v>0.2568157033805889</v>
      </c>
      <c r="AG119" s="38">
        <f t="shared" si="21"/>
        <v>0.25674819414522876</v>
      </c>
    </row>
    <row r="120" spans="2:33" ht="12.75">
      <c r="B120" s="33" t="s">
        <v>31</v>
      </c>
      <c r="C120" s="38">
        <f t="shared" si="19"/>
        <v>0.027650710668191473</v>
      </c>
      <c r="D120" s="38">
        <f aca="true" t="shared" si="26" ref="D120:AB120">D102/D$108</f>
        <v>0.028366384984500403</v>
      </c>
      <c r="E120" s="38">
        <f t="shared" si="26"/>
        <v>0.030147296859825187</v>
      </c>
      <c r="F120" s="38">
        <f t="shared" si="26"/>
        <v>0.0338019990875534</v>
      </c>
      <c r="G120" s="38">
        <f t="shared" si="26"/>
        <v>0.03779853809170152</v>
      </c>
      <c r="H120" s="38">
        <f t="shared" si="26"/>
        <v>0.03879276902785321</v>
      </c>
      <c r="I120" s="38">
        <f t="shared" si="26"/>
        <v>0.0408113491321491</v>
      </c>
      <c r="J120" s="38">
        <f t="shared" si="26"/>
        <v>0.04121228644129407</v>
      </c>
      <c r="K120" s="38">
        <f t="shared" si="26"/>
        <v>0.04306864064602961</v>
      </c>
      <c r="L120" s="38">
        <f t="shared" si="26"/>
        <v>0.04411019756069049</v>
      </c>
      <c r="M120" s="38">
        <f t="shared" si="26"/>
        <v>0.04625041295011562</v>
      </c>
      <c r="N120" s="38">
        <f t="shared" si="26"/>
        <v>0.04674162373556951</v>
      </c>
      <c r="O120" s="38">
        <f t="shared" si="26"/>
        <v>0.047331786542923436</v>
      </c>
      <c r="P120" s="38">
        <f t="shared" si="26"/>
        <v>0.048394357743097235</v>
      </c>
      <c r="Q120" s="38">
        <f t="shared" si="26"/>
        <v>0.0484681161087465</v>
      </c>
      <c r="R120" s="38">
        <f t="shared" si="26"/>
        <v>0.04866273277645797</v>
      </c>
      <c r="S120" s="38">
        <f t="shared" si="26"/>
        <v>0.05118416663578074</v>
      </c>
      <c r="T120" s="38">
        <f t="shared" si="26"/>
        <v>0.05330013352098445</v>
      </c>
      <c r="U120" s="38">
        <f t="shared" si="26"/>
        <v>0.054409362057828946</v>
      </c>
      <c r="V120" s="38">
        <f t="shared" si="26"/>
        <v>0.06132130047437232</v>
      </c>
      <c r="W120" s="38">
        <f t="shared" si="26"/>
        <v>0.06945696650253139</v>
      </c>
      <c r="X120" s="38">
        <f t="shared" si="26"/>
        <v>0.07455295735900963</v>
      </c>
      <c r="Y120" s="38">
        <f t="shared" si="26"/>
        <v>0.07757476778605696</v>
      </c>
      <c r="Z120" s="38">
        <f t="shared" si="26"/>
        <v>0.08717697660593769</v>
      </c>
      <c r="AA120" s="38">
        <f t="shared" si="26"/>
        <v>0.0935027304134626</v>
      </c>
      <c r="AB120" s="38">
        <f t="shared" si="26"/>
        <v>0.09303949987776342</v>
      </c>
      <c r="AC120" s="38">
        <f t="shared" si="21"/>
        <v>0.09971114529016768</v>
      </c>
      <c r="AD120" s="38">
        <f t="shared" si="21"/>
        <v>0.10568132708354111</v>
      </c>
      <c r="AE120" s="38">
        <f t="shared" si="21"/>
        <v>0.10919879246330545</v>
      </c>
      <c r="AF120" s="38">
        <f t="shared" si="21"/>
        <v>0.11457651762995275</v>
      </c>
      <c r="AG120" s="38">
        <f t="shared" si="21"/>
        <v>0.11728551514383474</v>
      </c>
    </row>
    <row r="121" spans="2:33" ht="12.75">
      <c r="B121" s="33" t="s">
        <v>32</v>
      </c>
      <c r="C121" s="38">
        <f t="shared" si="19"/>
        <v>0</v>
      </c>
      <c r="D121" s="38">
        <f aca="true" t="shared" si="27" ref="D121:AB121">D103/D$108</f>
        <v>0</v>
      </c>
      <c r="E121" s="38">
        <f t="shared" si="27"/>
        <v>0</v>
      </c>
      <c r="F121" s="38">
        <f t="shared" si="27"/>
        <v>0</v>
      </c>
      <c r="G121" s="38">
        <f t="shared" si="27"/>
        <v>0</v>
      </c>
      <c r="H121" s="38">
        <f t="shared" si="27"/>
        <v>0</v>
      </c>
      <c r="I121" s="38">
        <f t="shared" si="27"/>
        <v>0.0017478964269745133</v>
      </c>
      <c r="J121" s="38">
        <f t="shared" si="27"/>
        <v>0.006497637222828062</v>
      </c>
      <c r="K121" s="38">
        <f t="shared" si="27"/>
        <v>0.012045760430686406</v>
      </c>
      <c r="L121" s="38">
        <f t="shared" si="27"/>
        <v>0.017846705373494916</v>
      </c>
      <c r="M121" s="38">
        <f t="shared" si="27"/>
        <v>0.021363285981720076</v>
      </c>
      <c r="N121" s="38">
        <f t="shared" si="27"/>
        <v>0.023427217688865493</v>
      </c>
      <c r="O121" s="38">
        <f t="shared" si="27"/>
        <v>0.024168600154679042</v>
      </c>
      <c r="P121" s="38">
        <f t="shared" si="27"/>
        <v>0.026035414165666265</v>
      </c>
      <c r="Q121" s="38">
        <f t="shared" si="27"/>
        <v>0.02764676559684037</v>
      </c>
      <c r="R121" s="38">
        <f t="shared" si="27"/>
        <v>0.028891102766495518</v>
      </c>
      <c r="S121" s="38">
        <f t="shared" si="27"/>
        <v>0.0298358103850858</v>
      </c>
      <c r="T121" s="38">
        <f t="shared" si="27"/>
        <v>0.0325141640503771</v>
      </c>
      <c r="U121" s="38">
        <f t="shared" si="27"/>
        <v>0.03362589764048786</v>
      </c>
      <c r="V121" s="38">
        <f t="shared" si="27"/>
        <v>0.03282039415326468</v>
      </c>
      <c r="W121" s="38">
        <f t="shared" si="27"/>
        <v>0.033358762743602194</v>
      </c>
      <c r="X121" s="38">
        <f t="shared" si="27"/>
        <v>0.03470229907643938</v>
      </c>
      <c r="Y121" s="38">
        <f t="shared" si="27"/>
        <v>0.03330951651866217</v>
      </c>
      <c r="Z121" s="38">
        <f t="shared" si="27"/>
        <v>0.033150330454243454</v>
      </c>
      <c r="AA121" s="38">
        <f t="shared" si="27"/>
        <v>0.03228203127902225</v>
      </c>
      <c r="AB121" s="38">
        <f t="shared" si="27"/>
        <v>0.03359759717808124</v>
      </c>
      <c r="AC121" s="38">
        <f t="shared" si="21"/>
        <v>0.03368721161421015</v>
      </c>
      <c r="AD121" s="38">
        <f t="shared" si="21"/>
        <v>0.034972241614308036</v>
      </c>
      <c r="AE121" s="38">
        <f t="shared" si="21"/>
        <v>0.03556681356049828</v>
      </c>
      <c r="AF121" s="38">
        <f t="shared" si="21"/>
        <v>0.03551435841512177</v>
      </c>
      <c r="AG121" s="38">
        <f t="shared" si="21"/>
        <v>0.03646559371435813</v>
      </c>
    </row>
    <row r="122" spans="2:33" ht="12.75">
      <c r="B122" s="33" t="s">
        <v>33</v>
      </c>
      <c r="C122" s="38">
        <f t="shared" si="19"/>
        <v>0</v>
      </c>
      <c r="D122" s="38">
        <f aca="true" t="shared" si="28" ref="D122:AB122">D104/D$108</f>
        <v>0</v>
      </c>
      <c r="E122" s="38">
        <f t="shared" si="28"/>
        <v>0</v>
      </c>
      <c r="F122" s="38">
        <f t="shared" si="28"/>
        <v>0</v>
      </c>
      <c r="G122" s="38">
        <f t="shared" si="28"/>
        <v>0</v>
      </c>
      <c r="H122" s="38">
        <f t="shared" si="28"/>
        <v>0</v>
      </c>
      <c r="I122" s="38">
        <f t="shared" si="28"/>
        <v>0</v>
      </c>
      <c r="J122" s="38">
        <f t="shared" si="28"/>
        <v>0</v>
      </c>
      <c r="K122" s="38">
        <f t="shared" si="28"/>
        <v>0</v>
      </c>
      <c r="L122" s="38">
        <f t="shared" si="28"/>
        <v>0</v>
      </c>
      <c r="M122" s="38">
        <f t="shared" si="28"/>
        <v>0</v>
      </c>
      <c r="N122" s="38">
        <f t="shared" si="28"/>
        <v>0</v>
      </c>
      <c r="O122" s="38">
        <f t="shared" si="28"/>
        <v>0</v>
      </c>
      <c r="P122" s="38">
        <f t="shared" si="28"/>
        <v>0</v>
      </c>
      <c r="Q122" s="38">
        <f t="shared" si="28"/>
        <v>0</v>
      </c>
      <c r="R122" s="38">
        <f t="shared" si="28"/>
        <v>0</v>
      </c>
      <c r="S122" s="38">
        <f t="shared" si="28"/>
        <v>0</v>
      </c>
      <c r="T122" s="38">
        <f t="shared" si="28"/>
        <v>0</v>
      </c>
      <c r="U122" s="38">
        <f t="shared" si="28"/>
        <v>0.0005319351039173221</v>
      </c>
      <c r="V122" s="38">
        <f t="shared" si="28"/>
        <v>0.003201049018473524</v>
      </c>
      <c r="W122" s="38">
        <f t="shared" si="28"/>
        <v>0.0050627644080726815</v>
      </c>
      <c r="X122" s="38">
        <f t="shared" si="28"/>
        <v>0.00703478089998035</v>
      </c>
      <c r="Y122" s="38">
        <f t="shared" si="28"/>
        <v>0.007893572862440884</v>
      </c>
      <c r="Z122" s="38">
        <f t="shared" si="28"/>
        <v>0.010175892576144352</v>
      </c>
      <c r="AA122" s="38">
        <f t="shared" si="28"/>
        <v>0.010884505367955719</v>
      </c>
      <c r="AB122" s="38">
        <f t="shared" si="28"/>
        <v>0.012677679600461006</v>
      </c>
      <c r="AC122" s="38">
        <f t="shared" si="21"/>
        <v>0.013429868327268635</v>
      </c>
      <c r="AD122" s="38">
        <f t="shared" si="21"/>
        <v>0.015524749842093016</v>
      </c>
      <c r="AE122" s="38">
        <f t="shared" si="21"/>
        <v>0.01717616849994795</v>
      </c>
      <c r="AF122" s="38">
        <f t="shared" si="21"/>
        <v>0.018429661941112323</v>
      </c>
      <c r="AG122" s="38">
        <f t="shared" si="21"/>
        <v>0.020719807375491065</v>
      </c>
    </row>
    <row r="123" spans="2:33" ht="12.75">
      <c r="B123" s="33" t="s">
        <v>34</v>
      </c>
      <c r="C123" s="38">
        <f t="shared" si="19"/>
        <v>0.0032674399607907204</v>
      </c>
      <c r="D123" s="38">
        <f aca="true" t="shared" si="29" ref="D123:AB123">D105/D$108</f>
        <v>0.0032697779098900164</v>
      </c>
      <c r="E123" s="38">
        <f t="shared" si="29"/>
        <v>0.00311589511168663</v>
      </c>
      <c r="F123" s="38">
        <f t="shared" si="29"/>
        <v>0.0031520882584712374</v>
      </c>
      <c r="G123" s="38">
        <f t="shared" si="29"/>
        <v>0.003361607317359184</v>
      </c>
      <c r="H123" s="38">
        <f t="shared" si="29"/>
        <v>0.003530141981534642</v>
      </c>
      <c r="I123" s="38">
        <f t="shared" si="29"/>
        <v>0.003292549083370595</v>
      </c>
      <c r="J123" s="38">
        <f t="shared" si="29"/>
        <v>0.0031352235550708833</v>
      </c>
      <c r="K123" s="38">
        <f t="shared" si="29"/>
        <v>0.0027254374158815612</v>
      </c>
      <c r="L123" s="38">
        <f t="shared" si="29"/>
        <v>0.0026107625764719635</v>
      </c>
      <c r="M123" s="38">
        <f t="shared" si="29"/>
        <v>0.002936534155562897</v>
      </c>
      <c r="N123" s="38">
        <f t="shared" si="29"/>
        <v>0.002782687173316286</v>
      </c>
      <c r="O123" s="38">
        <f t="shared" si="29"/>
        <v>0.002552204176334107</v>
      </c>
      <c r="P123" s="38">
        <f t="shared" si="29"/>
        <v>0.003001200480192077</v>
      </c>
      <c r="Q123" s="38">
        <f t="shared" si="29"/>
        <v>0.002952567199662564</v>
      </c>
      <c r="R123" s="38">
        <f t="shared" si="29"/>
        <v>0.003218637443482259</v>
      </c>
      <c r="S123" s="38">
        <f t="shared" si="29"/>
        <v>0.0027797338868092362</v>
      </c>
      <c r="T123" s="38">
        <f t="shared" si="29"/>
        <v>0.003067373967016708</v>
      </c>
      <c r="U123" s="38">
        <f t="shared" si="29"/>
        <v>0.0025836847904555644</v>
      </c>
      <c r="V123" s="38">
        <f t="shared" si="29"/>
        <v>0.002892514173319449</v>
      </c>
      <c r="W123" s="38">
        <f t="shared" si="29"/>
        <v>0.002427352798391012</v>
      </c>
      <c r="X123" s="38">
        <f t="shared" si="29"/>
        <v>0.0023187266653566514</v>
      </c>
      <c r="Y123" s="38">
        <f t="shared" si="29"/>
        <v>0.002721921676703753</v>
      </c>
      <c r="Z123" s="38">
        <f t="shared" si="29"/>
        <v>0.0023079343987131517</v>
      </c>
      <c r="AA123" s="38">
        <f t="shared" si="29"/>
        <v>0.002563245291429845</v>
      </c>
      <c r="AB123" s="38">
        <f t="shared" si="29"/>
        <v>0.002200258443055216</v>
      </c>
      <c r="AC123" s="38">
        <f t="shared" si="21"/>
        <v>0.002325843118130322</v>
      </c>
      <c r="AD123" s="38">
        <f t="shared" si="21"/>
        <v>0.003058408962468003</v>
      </c>
      <c r="AE123" s="38">
        <f t="shared" si="21"/>
        <v>0.0021860578090842847</v>
      </c>
      <c r="AF123" s="38">
        <f t="shared" si="21"/>
        <v>0.0020719738276990187</v>
      </c>
      <c r="AG123" s="38">
        <f t="shared" si="21"/>
        <v>0.002534533012292485</v>
      </c>
    </row>
    <row r="124" spans="2:33" ht="12.75">
      <c r="B124" s="33" t="s">
        <v>35</v>
      </c>
      <c r="C124" s="38">
        <f t="shared" si="19"/>
        <v>0.21160758046070904</v>
      </c>
      <c r="D124" s="38">
        <f aca="true" t="shared" si="30" ref="D124:AB124">D106/D$108</f>
        <v>0.2129177459764746</v>
      </c>
      <c r="E124" s="38">
        <f t="shared" si="30"/>
        <v>0.20864357397215927</v>
      </c>
      <c r="F124" s="38">
        <f t="shared" si="30"/>
        <v>0.20671063000290324</v>
      </c>
      <c r="G124" s="38">
        <f t="shared" si="30"/>
        <v>0.2050580463589102</v>
      </c>
      <c r="H124" s="38">
        <f t="shared" si="30"/>
        <v>0.20517495538831562</v>
      </c>
      <c r="I124" s="38">
        <f t="shared" si="30"/>
        <v>0.20031706028210236</v>
      </c>
      <c r="J124" s="38">
        <f t="shared" si="30"/>
        <v>0.19960923300617958</v>
      </c>
      <c r="K124" s="38">
        <f t="shared" si="30"/>
        <v>0.19626514131897713</v>
      </c>
      <c r="L124" s="38">
        <f t="shared" si="30"/>
        <v>0.1949499279117796</v>
      </c>
      <c r="M124" s="38">
        <f t="shared" si="30"/>
        <v>0.19072789340381016</v>
      </c>
      <c r="N124" s="38">
        <f t="shared" si="30"/>
        <v>0.19362238182980485</v>
      </c>
      <c r="O124" s="38">
        <f t="shared" si="30"/>
        <v>0.19389017788089713</v>
      </c>
      <c r="P124" s="38">
        <f t="shared" si="30"/>
        <v>0.19248949579831934</v>
      </c>
      <c r="Q124" s="38">
        <f t="shared" si="30"/>
        <v>0.1931439088922121</v>
      </c>
      <c r="R124" s="38">
        <f t="shared" si="30"/>
        <v>0.19591539581577133</v>
      </c>
      <c r="S124" s="38">
        <f t="shared" si="30"/>
        <v>0.19094918646454911</v>
      </c>
      <c r="T124" s="38">
        <f t="shared" si="30"/>
        <v>0.19165674280971456</v>
      </c>
      <c r="U124" s="38">
        <f t="shared" si="30"/>
        <v>0.18857099433869068</v>
      </c>
      <c r="V124" s="38">
        <f t="shared" si="30"/>
        <v>0.1855451425045316</v>
      </c>
      <c r="W124" s="38">
        <f t="shared" si="30"/>
        <v>0.1849642832373951</v>
      </c>
      <c r="X124" s="38">
        <f t="shared" si="30"/>
        <v>0.18148948712910198</v>
      </c>
      <c r="Y124" s="38">
        <f t="shared" si="30"/>
        <v>0.18104181552175835</v>
      </c>
      <c r="Z124" s="38">
        <f t="shared" si="30"/>
        <v>0.17641710668951288</v>
      </c>
      <c r="AA124" s="38">
        <f t="shared" si="30"/>
        <v>0.17838701289052342</v>
      </c>
      <c r="AB124" s="38">
        <f t="shared" si="30"/>
        <v>0.17664932071386164</v>
      </c>
      <c r="AC124" s="38">
        <f t="shared" si="21"/>
        <v>0.17305023070863187</v>
      </c>
      <c r="AD124" s="38">
        <f t="shared" si="21"/>
        <v>0.17233469631993617</v>
      </c>
      <c r="AE124" s="38">
        <f t="shared" si="21"/>
        <v>0.16947152919948644</v>
      </c>
      <c r="AF124" s="38">
        <f t="shared" si="21"/>
        <v>0.16412213740458015</v>
      </c>
      <c r="AG124" s="38">
        <f t="shared" si="21"/>
        <v>0.16392092257001648</v>
      </c>
    </row>
    <row r="125" spans="2:33" ht="13.5" thickBot="1">
      <c r="B125" s="35" t="s">
        <v>72</v>
      </c>
      <c r="C125" s="39">
        <f t="shared" si="19"/>
        <v>0</v>
      </c>
      <c r="D125" s="39">
        <f aca="true" t="shared" si="31" ref="D125:AG125">D107/D$108</f>
        <v>0</v>
      </c>
      <c r="E125" s="39">
        <f t="shared" si="31"/>
        <v>0</v>
      </c>
      <c r="F125" s="39">
        <f t="shared" si="31"/>
        <v>0</v>
      </c>
      <c r="G125" s="39">
        <f t="shared" si="31"/>
        <v>0</v>
      </c>
      <c r="H125" s="39">
        <f t="shared" si="31"/>
        <v>0</v>
      </c>
      <c r="I125" s="39">
        <f t="shared" si="31"/>
        <v>0</v>
      </c>
      <c r="J125" s="39">
        <f t="shared" si="31"/>
        <v>0</v>
      </c>
      <c r="K125" s="39">
        <f t="shared" si="31"/>
        <v>0</v>
      </c>
      <c r="L125" s="39">
        <f t="shared" si="31"/>
        <v>0</v>
      </c>
      <c r="M125" s="39">
        <f t="shared" si="31"/>
        <v>0</v>
      </c>
      <c r="N125" s="39">
        <f t="shared" si="31"/>
        <v>0</v>
      </c>
      <c r="O125" s="39">
        <f t="shared" si="31"/>
        <v>0</v>
      </c>
      <c r="P125" s="39">
        <f t="shared" si="31"/>
        <v>0</v>
      </c>
      <c r="Q125" s="39">
        <f t="shared" si="31"/>
        <v>0</v>
      </c>
      <c r="R125" s="39">
        <f t="shared" si="31"/>
        <v>0</v>
      </c>
      <c r="S125" s="39">
        <f t="shared" si="31"/>
        <v>0</v>
      </c>
      <c r="T125" s="39">
        <f t="shared" si="31"/>
        <v>0</v>
      </c>
      <c r="U125" s="39">
        <f t="shared" si="31"/>
        <v>0</v>
      </c>
      <c r="V125" s="39">
        <f t="shared" si="31"/>
        <v>0</v>
      </c>
      <c r="W125" s="39">
        <f t="shared" si="31"/>
        <v>0</v>
      </c>
      <c r="X125" s="39">
        <f t="shared" si="31"/>
        <v>0</v>
      </c>
      <c r="Y125" s="39">
        <f t="shared" si="31"/>
        <v>0</v>
      </c>
      <c r="Z125" s="39">
        <f t="shared" si="31"/>
        <v>0</v>
      </c>
      <c r="AA125" s="39">
        <f t="shared" si="31"/>
        <v>0</v>
      </c>
      <c r="AB125" s="39">
        <f t="shared" si="31"/>
        <v>0</v>
      </c>
      <c r="AC125" s="39">
        <f t="shared" si="31"/>
        <v>0</v>
      </c>
      <c r="AD125" s="39">
        <f t="shared" si="31"/>
        <v>0</v>
      </c>
      <c r="AE125" s="39">
        <f t="shared" si="31"/>
        <v>0</v>
      </c>
      <c r="AF125" s="39">
        <f t="shared" si="31"/>
        <v>0</v>
      </c>
      <c r="AG125" s="39">
        <f t="shared" si="31"/>
        <v>0.00047522493980484094</v>
      </c>
    </row>
    <row r="126" spans="2:33" ht="13.5" thickTop="1">
      <c r="B126" s="37" t="s">
        <v>36</v>
      </c>
      <c r="C126" s="51">
        <f t="shared" si="19"/>
        <v>1</v>
      </c>
      <c r="D126" s="51">
        <f aca="true" t="shared" si="32" ref="D126:AB126">D108/D$108</f>
        <v>1</v>
      </c>
      <c r="E126" s="51">
        <f t="shared" si="32"/>
        <v>1</v>
      </c>
      <c r="F126" s="51">
        <f t="shared" si="32"/>
        <v>1</v>
      </c>
      <c r="G126" s="51">
        <f t="shared" si="32"/>
        <v>1</v>
      </c>
      <c r="H126" s="51">
        <f t="shared" si="32"/>
        <v>1</v>
      </c>
      <c r="I126" s="51">
        <f t="shared" si="32"/>
        <v>1</v>
      </c>
      <c r="J126" s="51">
        <f t="shared" si="32"/>
        <v>1</v>
      </c>
      <c r="K126" s="51">
        <f t="shared" si="32"/>
        <v>1</v>
      </c>
      <c r="L126" s="51">
        <f t="shared" si="32"/>
        <v>1</v>
      </c>
      <c r="M126" s="51">
        <f t="shared" si="32"/>
        <v>1</v>
      </c>
      <c r="N126" s="51">
        <f t="shared" si="32"/>
        <v>1</v>
      </c>
      <c r="O126" s="51">
        <f t="shared" si="32"/>
        <v>1</v>
      </c>
      <c r="P126" s="51">
        <f t="shared" si="32"/>
        <v>1</v>
      </c>
      <c r="Q126" s="51">
        <f t="shared" si="32"/>
        <v>1</v>
      </c>
      <c r="R126" s="51">
        <f t="shared" si="32"/>
        <v>1</v>
      </c>
      <c r="S126" s="51">
        <f t="shared" si="32"/>
        <v>1</v>
      </c>
      <c r="T126" s="51">
        <f t="shared" si="32"/>
        <v>1</v>
      </c>
      <c r="U126" s="51">
        <f t="shared" si="32"/>
        <v>1</v>
      </c>
      <c r="V126" s="51">
        <f t="shared" si="32"/>
        <v>1</v>
      </c>
      <c r="W126" s="51">
        <f t="shared" si="32"/>
        <v>1</v>
      </c>
      <c r="X126" s="51">
        <f t="shared" si="32"/>
        <v>1</v>
      </c>
      <c r="Y126" s="51">
        <f t="shared" si="32"/>
        <v>1</v>
      </c>
      <c r="Z126" s="51">
        <f t="shared" si="32"/>
        <v>1</v>
      </c>
      <c r="AA126" s="51">
        <f t="shared" si="32"/>
        <v>1</v>
      </c>
      <c r="AB126" s="51">
        <f t="shared" si="32"/>
        <v>1</v>
      </c>
      <c r="AC126" s="51">
        <f aca="true" t="shared" si="33" ref="AC126:AG127">AC108/AC$108</f>
        <v>1</v>
      </c>
      <c r="AD126" s="51">
        <f t="shared" si="33"/>
        <v>1</v>
      </c>
      <c r="AE126" s="51">
        <f t="shared" si="33"/>
        <v>1</v>
      </c>
      <c r="AF126" s="51">
        <f t="shared" si="33"/>
        <v>1</v>
      </c>
      <c r="AG126" s="51">
        <f t="shared" si="33"/>
        <v>1</v>
      </c>
    </row>
    <row r="127" spans="2:33" ht="13.5" thickBot="1">
      <c r="B127" s="52" t="s">
        <v>37</v>
      </c>
      <c r="C127" s="53">
        <f t="shared" si="19"/>
        <v>0.45756412350923054</v>
      </c>
      <c r="D127" s="53">
        <f aca="true" t="shared" si="34" ref="D127:AB127">D109/D$108</f>
        <v>0.4556032103274024</v>
      </c>
      <c r="E127" s="53">
        <f t="shared" si="34"/>
        <v>0.4545969569439948</v>
      </c>
      <c r="F127" s="53">
        <f t="shared" si="34"/>
        <v>0.4497117498237319</v>
      </c>
      <c r="G127" s="53">
        <f t="shared" si="34"/>
        <v>0.44732830395184303</v>
      </c>
      <c r="H127" s="53">
        <f t="shared" si="34"/>
        <v>0.44518581736364343</v>
      </c>
      <c r="I127" s="53">
        <f t="shared" si="34"/>
        <v>0.44164871346693224</v>
      </c>
      <c r="J127" s="53">
        <f t="shared" si="34"/>
        <v>0.4396583060705198</v>
      </c>
      <c r="K127" s="53">
        <f t="shared" si="34"/>
        <v>0.4276244952893674</v>
      </c>
      <c r="L127" s="53">
        <f t="shared" si="34"/>
        <v>0.4246970346413124</v>
      </c>
      <c r="M127" s="53">
        <f t="shared" si="34"/>
        <v>0.4244025988327277</v>
      </c>
      <c r="N127" s="53">
        <f t="shared" si="34"/>
        <v>0.41774151092392736</v>
      </c>
      <c r="O127" s="53">
        <f t="shared" si="34"/>
        <v>0.4175560711523589</v>
      </c>
      <c r="P127" s="53">
        <f t="shared" si="34"/>
        <v>0.41607893157262904</v>
      </c>
      <c r="Q127" s="53">
        <f t="shared" si="34"/>
        <v>0.41305264772422257</v>
      </c>
      <c r="R127" s="53">
        <f t="shared" si="34"/>
        <v>0.4092650777837382</v>
      </c>
      <c r="S127" s="53">
        <f t="shared" si="34"/>
        <v>0.40602646306660245</v>
      </c>
      <c r="T127" s="53">
        <f t="shared" si="34"/>
        <v>0.39724297210494025</v>
      </c>
      <c r="U127" s="53">
        <f t="shared" si="34"/>
        <v>0.3990273186671226</v>
      </c>
      <c r="V127" s="53">
        <f t="shared" si="34"/>
        <v>0.3929962590150025</v>
      </c>
      <c r="W127" s="53">
        <f t="shared" si="34"/>
        <v>0.38532491851029893</v>
      </c>
      <c r="X127" s="53">
        <f t="shared" si="34"/>
        <v>0.3809785812536844</v>
      </c>
      <c r="Y127" s="53">
        <f t="shared" si="34"/>
        <v>0.3777346806845633</v>
      </c>
      <c r="Z127" s="53">
        <f t="shared" si="34"/>
        <v>0.37371052907647656</v>
      </c>
      <c r="AA127" s="53">
        <f t="shared" si="34"/>
        <v>0.3661725918496229</v>
      </c>
      <c r="AB127" s="53">
        <f t="shared" si="34"/>
        <v>0.36730346104145567</v>
      </c>
      <c r="AC127" s="53">
        <f t="shared" si="33"/>
        <v>0.3628690400270098</v>
      </c>
      <c r="AD127" s="53">
        <f t="shared" si="33"/>
        <v>0.35750141285196635</v>
      </c>
      <c r="AE127" s="53">
        <f t="shared" si="33"/>
        <v>0.35403726708074534</v>
      </c>
      <c r="AF127" s="53">
        <f t="shared" si="33"/>
        <v>0.35278080697928027</v>
      </c>
      <c r="AG127" s="53">
        <f t="shared" si="33"/>
        <v>0.34792801926245087</v>
      </c>
    </row>
    <row r="128" ht="13.5" thickTop="1"/>
    <row r="132" spans="2:33" ht="13.5" thickBot="1">
      <c r="B132" s="71" t="s">
        <v>41</v>
      </c>
      <c r="C132" s="84">
        <v>38169</v>
      </c>
      <c r="D132" s="84">
        <v>38200</v>
      </c>
      <c r="E132" s="84">
        <v>38231</v>
      </c>
      <c r="F132" s="84">
        <v>38261</v>
      </c>
      <c r="G132" s="84">
        <v>38292</v>
      </c>
      <c r="H132" s="84">
        <v>38322</v>
      </c>
      <c r="I132" s="84">
        <v>38353</v>
      </c>
      <c r="J132" s="84">
        <v>38384</v>
      </c>
      <c r="K132" s="84">
        <v>38412</v>
      </c>
      <c r="L132" s="84">
        <v>38443</v>
      </c>
      <c r="M132" s="84">
        <v>38473</v>
      </c>
      <c r="N132" s="84">
        <v>38504</v>
      </c>
      <c r="O132" s="84">
        <v>38534</v>
      </c>
      <c r="P132" s="84">
        <v>38565</v>
      </c>
      <c r="Q132" s="84">
        <v>38596</v>
      </c>
      <c r="R132" s="84">
        <v>38626</v>
      </c>
      <c r="S132" s="84">
        <v>38657</v>
      </c>
      <c r="T132" s="84">
        <v>38687</v>
      </c>
      <c r="U132" s="84">
        <v>38718</v>
      </c>
      <c r="V132" s="84">
        <v>38749</v>
      </c>
      <c r="W132" s="84">
        <v>38777</v>
      </c>
      <c r="X132" s="84">
        <v>38808</v>
      </c>
      <c r="Y132" s="84">
        <v>38838</v>
      </c>
      <c r="Z132" s="84">
        <v>38869</v>
      </c>
      <c r="AA132" s="84">
        <v>38899</v>
      </c>
      <c r="AB132" s="84">
        <v>38930</v>
      </c>
      <c r="AC132" s="84">
        <v>38961</v>
      </c>
      <c r="AD132" s="84">
        <v>38991</v>
      </c>
      <c r="AE132" s="84">
        <v>39022</v>
      </c>
      <c r="AF132" s="84">
        <v>39052</v>
      </c>
      <c r="AG132" s="84">
        <v>39083</v>
      </c>
    </row>
    <row r="133" spans="2:33" ht="13.5" thickTop="1">
      <c r="B133" s="74" t="s">
        <v>1</v>
      </c>
      <c r="C133" s="75">
        <f aca="true" t="shared" si="35" ref="C133:C161">C66/C$108</f>
        <v>0</v>
      </c>
      <c r="D133" s="75">
        <f aca="true" t="shared" si="36" ref="D133:AG133">D66/D$108</f>
        <v>0</v>
      </c>
      <c r="E133" s="75">
        <f t="shared" si="36"/>
        <v>0</v>
      </c>
      <c r="F133" s="75">
        <f t="shared" si="36"/>
        <v>0</v>
      </c>
      <c r="G133" s="75">
        <f t="shared" si="36"/>
        <v>0</v>
      </c>
      <c r="H133" s="75">
        <f t="shared" si="36"/>
        <v>0</v>
      </c>
      <c r="I133" s="75">
        <f t="shared" si="36"/>
        <v>0</v>
      </c>
      <c r="J133" s="75">
        <f t="shared" si="36"/>
        <v>0</v>
      </c>
      <c r="K133" s="75">
        <f t="shared" si="36"/>
        <v>0</v>
      </c>
      <c r="L133" s="75">
        <f t="shared" si="36"/>
        <v>0</v>
      </c>
      <c r="M133" s="75">
        <f t="shared" si="36"/>
        <v>0</v>
      </c>
      <c r="N133" s="75">
        <f t="shared" si="36"/>
        <v>0</v>
      </c>
      <c r="O133" s="75">
        <f t="shared" si="36"/>
        <v>0</v>
      </c>
      <c r="P133" s="75">
        <f t="shared" si="36"/>
        <v>0</v>
      </c>
      <c r="Q133" s="75">
        <f t="shared" si="36"/>
        <v>0</v>
      </c>
      <c r="R133" s="75">
        <f t="shared" si="36"/>
        <v>0</v>
      </c>
      <c r="S133" s="75">
        <f t="shared" si="36"/>
        <v>0</v>
      </c>
      <c r="T133" s="75">
        <f t="shared" si="36"/>
        <v>7.217350510627549E-05</v>
      </c>
      <c r="U133" s="75">
        <f t="shared" si="36"/>
        <v>0.0004939397393517991</v>
      </c>
      <c r="V133" s="75">
        <f t="shared" si="36"/>
        <v>0.0006170696903081492</v>
      </c>
      <c r="W133" s="75">
        <f t="shared" si="36"/>
        <v>0.0006588529024204175</v>
      </c>
      <c r="X133" s="75">
        <f t="shared" si="36"/>
        <v>0.001454116722342307</v>
      </c>
      <c r="Y133" s="75">
        <f t="shared" si="36"/>
        <v>0.0013949848593106733</v>
      </c>
      <c r="Z133" s="75">
        <f t="shared" si="36"/>
        <v>0.0016784977445186559</v>
      </c>
      <c r="AA133" s="75">
        <f t="shared" si="36"/>
        <v>0.0015973847468330918</v>
      </c>
      <c r="AB133" s="75">
        <f t="shared" si="36"/>
        <v>0.0018859358083330423</v>
      </c>
      <c r="AC133" s="75">
        <f t="shared" si="36"/>
        <v>0.001950707131335109</v>
      </c>
      <c r="AD133" s="75">
        <f t="shared" si="36"/>
        <v>0.0022273195704930024</v>
      </c>
      <c r="AE133" s="75">
        <f t="shared" si="36"/>
        <v>0.002428953121204761</v>
      </c>
      <c r="AF133" s="75">
        <f t="shared" si="36"/>
        <v>0.0019992729916394037</v>
      </c>
      <c r="AG133" s="75">
        <f t="shared" si="36"/>
        <v>0.0018692180965657079</v>
      </c>
    </row>
    <row r="134" spans="2:33" ht="12.75">
      <c r="B134" s="73" t="s">
        <v>2</v>
      </c>
      <c r="C134" s="75">
        <f t="shared" si="35"/>
        <v>0.17023362195719655</v>
      </c>
      <c r="D134" s="75">
        <f aca="true" t="shared" si="37" ref="D134:AG134">D67/D$108</f>
        <v>0.16977366342519853</v>
      </c>
      <c r="E134" s="75">
        <f t="shared" si="37"/>
        <v>0.16752994496600843</v>
      </c>
      <c r="F134" s="75">
        <f t="shared" si="37"/>
        <v>0.16585790717929574</v>
      </c>
      <c r="G134" s="75">
        <f t="shared" si="37"/>
        <v>0.16409334323574248</v>
      </c>
      <c r="H134" s="75">
        <f t="shared" si="37"/>
        <v>0.16211498176739855</v>
      </c>
      <c r="I134" s="75">
        <f t="shared" si="37"/>
        <v>0.16129425633104347</v>
      </c>
      <c r="J134" s="75">
        <f t="shared" si="37"/>
        <v>0.1568520537986187</v>
      </c>
      <c r="K134" s="75">
        <f t="shared" si="37"/>
        <v>0.15548452220726783</v>
      </c>
      <c r="L134" s="75">
        <f t="shared" si="37"/>
        <v>0.15216459494213458</v>
      </c>
      <c r="M134" s="75">
        <f t="shared" si="37"/>
        <v>0.15112138898065558</v>
      </c>
      <c r="N134" s="75">
        <f t="shared" si="37"/>
        <v>0.1520324897529425</v>
      </c>
      <c r="O134" s="75">
        <f t="shared" si="37"/>
        <v>0.1511600928074246</v>
      </c>
      <c r="P134" s="75">
        <f t="shared" si="37"/>
        <v>0.1523859543817527</v>
      </c>
      <c r="Q134" s="75">
        <f t="shared" si="37"/>
        <v>0.1504658920970896</v>
      </c>
      <c r="R134" s="75">
        <f t="shared" si="37"/>
        <v>0.15066288604490766</v>
      </c>
      <c r="S134" s="75">
        <f t="shared" si="37"/>
        <v>0.1495496831103369</v>
      </c>
      <c r="T134" s="75">
        <f t="shared" si="37"/>
        <v>0.14701742990148317</v>
      </c>
      <c r="U134" s="75">
        <f t="shared" si="37"/>
        <v>0.14970173638816064</v>
      </c>
      <c r="V134" s="75">
        <f t="shared" si="37"/>
        <v>0.14624551660303137</v>
      </c>
      <c r="W134" s="75">
        <f t="shared" si="37"/>
        <v>0.1449129620639434</v>
      </c>
      <c r="X134" s="75">
        <f t="shared" si="37"/>
        <v>0.13951660444095107</v>
      </c>
      <c r="Y134" s="75">
        <f t="shared" si="37"/>
        <v>0.14068932666462522</v>
      </c>
      <c r="Z134" s="75">
        <f t="shared" si="37"/>
        <v>0.1390705318739728</v>
      </c>
      <c r="AA134" s="75">
        <f t="shared" si="37"/>
        <v>0.13570340651584384</v>
      </c>
      <c r="AB134" s="75">
        <f t="shared" si="37"/>
        <v>0.13690496979010233</v>
      </c>
      <c r="AC134" s="75">
        <f t="shared" si="37"/>
        <v>0.13654949919345763</v>
      </c>
      <c r="AD134" s="75">
        <f t="shared" si="37"/>
        <v>0.13260862338353113</v>
      </c>
      <c r="AE134" s="75">
        <f t="shared" si="37"/>
        <v>0.12963669801172836</v>
      </c>
      <c r="AF134" s="75">
        <f t="shared" si="37"/>
        <v>0.13140676117775354</v>
      </c>
      <c r="AG134" s="75">
        <f t="shared" si="37"/>
        <v>0.1281523254340388</v>
      </c>
    </row>
    <row r="135" spans="2:33" ht="12.75">
      <c r="B135" s="73" t="s">
        <v>3</v>
      </c>
      <c r="C135" s="75">
        <f t="shared" si="35"/>
        <v>0.026670478679954257</v>
      </c>
      <c r="D135" s="75">
        <f aca="true" t="shared" si="38" ref="D135:AG135">D68/D$108</f>
        <v>0.02649794046456325</v>
      </c>
      <c r="E135" s="75">
        <f t="shared" si="38"/>
        <v>0.02662674004532211</v>
      </c>
      <c r="F135" s="75">
        <f t="shared" si="38"/>
        <v>0.026543901123968313</v>
      </c>
      <c r="G135" s="75">
        <f t="shared" si="38"/>
        <v>0.02650197396708752</v>
      </c>
      <c r="H135" s="75">
        <f t="shared" si="38"/>
        <v>0.02827992862130499</v>
      </c>
      <c r="I135" s="75">
        <f t="shared" si="38"/>
        <v>0.02788504532336084</v>
      </c>
      <c r="J135" s="75">
        <f t="shared" si="38"/>
        <v>0.02867139222101054</v>
      </c>
      <c r="K135" s="75">
        <f t="shared" si="38"/>
        <v>0.027288021534320323</v>
      </c>
      <c r="L135" s="75">
        <f t="shared" si="38"/>
        <v>0.027666289989479016</v>
      </c>
      <c r="M135" s="75">
        <f t="shared" si="38"/>
        <v>0.029438754909518042</v>
      </c>
      <c r="N135" s="75">
        <f t="shared" si="38"/>
        <v>0.028127702778926785</v>
      </c>
      <c r="O135" s="75">
        <f t="shared" si="38"/>
        <v>0.028654292343387473</v>
      </c>
      <c r="P135" s="75">
        <f t="shared" si="38"/>
        <v>0.02963685474189676</v>
      </c>
      <c r="Q135" s="75">
        <f t="shared" si="38"/>
        <v>0.029333946853790406</v>
      </c>
      <c r="R135" s="75">
        <f t="shared" si="38"/>
        <v>0.028584565867116253</v>
      </c>
      <c r="S135" s="75">
        <f t="shared" si="38"/>
        <v>0.029539305437159484</v>
      </c>
      <c r="T135" s="75">
        <f t="shared" si="38"/>
        <v>0.028580708022085094</v>
      </c>
      <c r="U135" s="75">
        <f t="shared" si="38"/>
        <v>0.027850602226528364</v>
      </c>
      <c r="V135" s="75">
        <f t="shared" si="38"/>
        <v>0.02838520575417486</v>
      </c>
      <c r="W135" s="75">
        <f t="shared" si="38"/>
        <v>0.028330674804077954</v>
      </c>
      <c r="X135" s="75">
        <f t="shared" si="38"/>
        <v>0.02703871094517587</v>
      </c>
      <c r="Y135" s="75">
        <f t="shared" si="38"/>
        <v>0.026708856452655576</v>
      </c>
      <c r="Z135" s="75">
        <f t="shared" si="38"/>
        <v>0.0262614959611148</v>
      </c>
      <c r="AA135" s="75">
        <f t="shared" si="38"/>
        <v>0.02563245291429845</v>
      </c>
      <c r="AB135" s="75">
        <f t="shared" si="38"/>
        <v>0.02532043446373066</v>
      </c>
      <c r="AC135" s="75">
        <f t="shared" si="38"/>
        <v>0.025584274299433545</v>
      </c>
      <c r="AD135" s="75">
        <f t="shared" si="38"/>
        <v>0.024633489578139024</v>
      </c>
      <c r="AE135" s="75">
        <f t="shared" si="38"/>
        <v>0.02463652451507686</v>
      </c>
      <c r="AF135" s="75">
        <f t="shared" si="38"/>
        <v>0.023845874227553618</v>
      </c>
      <c r="AG135" s="75">
        <f t="shared" si="38"/>
        <v>0.02423647193004689</v>
      </c>
    </row>
    <row r="136" spans="2:33" ht="12.75">
      <c r="B136" s="73" t="s">
        <v>42</v>
      </c>
      <c r="C136" s="75">
        <f t="shared" si="35"/>
        <v>0</v>
      </c>
      <c r="D136" s="75">
        <f aca="true" t="shared" si="39" ref="D136:AG136">D69/D$108</f>
        <v>0</v>
      </c>
      <c r="E136" s="75">
        <f t="shared" si="39"/>
        <v>0</v>
      </c>
      <c r="F136" s="75">
        <f t="shared" si="39"/>
        <v>0</v>
      </c>
      <c r="G136" s="75">
        <f t="shared" si="39"/>
        <v>0</v>
      </c>
      <c r="H136" s="75">
        <f t="shared" si="39"/>
        <v>0</v>
      </c>
      <c r="I136" s="75">
        <f t="shared" si="39"/>
        <v>0</v>
      </c>
      <c r="J136" s="75">
        <f t="shared" si="39"/>
        <v>0</v>
      </c>
      <c r="K136" s="75">
        <f t="shared" si="39"/>
        <v>0</v>
      </c>
      <c r="L136" s="75">
        <f t="shared" si="39"/>
        <v>0</v>
      </c>
      <c r="M136" s="75">
        <f t="shared" si="39"/>
        <v>0</v>
      </c>
      <c r="N136" s="75">
        <f t="shared" si="39"/>
        <v>0</v>
      </c>
      <c r="O136" s="75">
        <f t="shared" si="39"/>
        <v>0</v>
      </c>
      <c r="P136" s="75">
        <f t="shared" si="39"/>
        <v>0</v>
      </c>
      <c r="Q136" s="75">
        <f t="shared" si="39"/>
        <v>0</v>
      </c>
      <c r="R136" s="75">
        <f t="shared" si="39"/>
        <v>0</v>
      </c>
      <c r="S136" s="75">
        <f t="shared" si="39"/>
        <v>0</v>
      </c>
      <c r="T136" s="75">
        <f t="shared" si="39"/>
        <v>0</v>
      </c>
      <c r="U136" s="75">
        <f t="shared" si="39"/>
        <v>0</v>
      </c>
      <c r="V136" s="75">
        <f t="shared" si="39"/>
        <v>0</v>
      </c>
      <c r="W136" s="75">
        <f t="shared" si="39"/>
        <v>0</v>
      </c>
      <c r="X136" s="75">
        <f t="shared" si="39"/>
        <v>0</v>
      </c>
      <c r="Y136" s="75">
        <f t="shared" si="39"/>
        <v>0</v>
      </c>
      <c r="Z136" s="75">
        <f t="shared" si="39"/>
        <v>0</v>
      </c>
      <c r="AA136" s="75">
        <f t="shared" si="39"/>
        <v>0</v>
      </c>
      <c r="AB136" s="75">
        <f t="shared" si="39"/>
        <v>0</v>
      </c>
      <c r="AC136" s="75">
        <f t="shared" si="39"/>
        <v>0</v>
      </c>
      <c r="AD136" s="75">
        <f t="shared" si="39"/>
        <v>0.00016621787839500015</v>
      </c>
      <c r="AE136" s="75">
        <f t="shared" si="39"/>
        <v>0.00027759464242340125</v>
      </c>
      <c r="AF136" s="75">
        <f t="shared" si="39"/>
        <v>0.0005089058524173028</v>
      </c>
      <c r="AG136" s="75">
        <f t="shared" si="39"/>
        <v>0.0007603599036877456</v>
      </c>
    </row>
    <row r="137" spans="2:33" ht="12.75">
      <c r="B137" s="73" t="s">
        <v>4</v>
      </c>
      <c r="C137" s="75">
        <f t="shared" si="35"/>
        <v>0.1922888416925339</v>
      </c>
      <c r="D137" s="75">
        <f aca="true" t="shared" si="40" ref="D137:AG137">D70/D$108</f>
        <v>0.1911333814599346</v>
      </c>
      <c r="E137" s="75">
        <f t="shared" si="40"/>
        <v>0.19043379734541924</v>
      </c>
      <c r="F137" s="75">
        <f t="shared" si="40"/>
        <v>0.18837874828916262</v>
      </c>
      <c r="G137" s="75">
        <f t="shared" si="40"/>
        <v>0.18871907125825743</v>
      </c>
      <c r="H137" s="75">
        <f t="shared" si="40"/>
        <v>0.1866320117930018</v>
      </c>
      <c r="I137" s="75">
        <f t="shared" si="40"/>
        <v>0.18279744725824154</v>
      </c>
      <c r="J137" s="75">
        <f t="shared" si="40"/>
        <v>0.18497818974918212</v>
      </c>
      <c r="K137" s="75">
        <f t="shared" si="40"/>
        <v>0.1768842530282638</v>
      </c>
      <c r="L137" s="75">
        <f t="shared" si="40"/>
        <v>0.1773370221719986</v>
      </c>
      <c r="M137" s="75">
        <f t="shared" si="40"/>
        <v>0.17732995631905443</v>
      </c>
      <c r="N137" s="75">
        <f t="shared" si="40"/>
        <v>0.17361711728650397</v>
      </c>
      <c r="O137" s="75">
        <f t="shared" si="40"/>
        <v>0.17211910286156226</v>
      </c>
      <c r="P137" s="75">
        <f t="shared" si="40"/>
        <v>0.17106842737094838</v>
      </c>
      <c r="Q137" s="75">
        <f t="shared" si="40"/>
        <v>0.16833467540933317</v>
      </c>
      <c r="R137" s="75">
        <f t="shared" si="40"/>
        <v>0.16533834010268986</v>
      </c>
      <c r="S137" s="75">
        <f t="shared" si="40"/>
        <v>0.16437493050665283</v>
      </c>
      <c r="T137" s="75">
        <f t="shared" si="40"/>
        <v>0.16065822236656924</v>
      </c>
      <c r="U137" s="75">
        <f t="shared" si="40"/>
        <v>0.1600364755499829</v>
      </c>
      <c r="V137" s="75">
        <f t="shared" si="40"/>
        <v>0.15719850360600102</v>
      </c>
      <c r="W137" s="75">
        <f t="shared" si="40"/>
        <v>0.1514321381510507</v>
      </c>
      <c r="X137" s="75">
        <f t="shared" si="40"/>
        <v>0.1528001572018078</v>
      </c>
      <c r="Y137" s="75">
        <f t="shared" si="40"/>
        <v>0.14939947603007722</v>
      </c>
      <c r="Z137" s="75">
        <f t="shared" si="40"/>
        <v>0.14690352134839318</v>
      </c>
      <c r="AA137" s="75">
        <f t="shared" si="40"/>
        <v>0.14536201196181137</v>
      </c>
      <c r="AB137" s="75">
        <f t="shared" si="40"/>
        <v>0.14326127195892852</v>
      </c>
      <c r="AC137" s="75">
        <f t="shared" si="40"/>
        <v>0.13955058708781934</v>
      </c>
      <c r="AD137" s="75">
        <f t="shared" si="40"/>
        <v>0.13699677537315913</v>
      </c>
      <c r="AE137" s="75">
        <f t="shared" si="40"/>
        <v>0.1350497935389847</v>
      </c>
      <c r="AF137" s="75">
        <f t="shared" si="40"/>
        <v>0.13336968375136313</v>
      </c>
      <c r="AG137" s="75">
        <f t="shared" si="40"/>
        <v>0.1331263464706628</v>
      </c>
    </row>
    <row r="138" spans="2:33" ht="12.75">
      <c r="B138" s="73" t="s">
        <v>5</v>
      </c>
      <c r="C138" s="75">
        <f t="shared" si="35"/>
        <v>0.06837118117954583</v>
      </c>
      <c r="D138" s="75">
        <f aca="true" t="shared" si="41" ref="D138:AG138">D71/D$108</f>
        <v>0.06819822497770606</v>
      </c>
      <c r="E138" s="75">
        <f t="shared" si="41"/>
        <v>0.07000647458724506</v>
      </c>
      <c r="F138" s="75">
        <f t="shared" si="41"/>
        <v>0.06893119323130521</v>
      </c>
      <c r="G138" s="75">
        <f t="shared" si="41"/>
        <v>0.06801391549075558</v>
      </c>
      <c r="H138" s="75">
        <f t="shared" si="41"/>
        <v>0.06815889518193809</v>
      </c>
      <c r="I138" s="75">
        <f t="shared" si="41"/>
        <v>0.06967196455428641</v>
      </c>
      <c r="J138" s="75">
        <f t="shared" si="41"/>
        <v>0.06915667030170847</v>
      </c>
      <c r="K138" s="75">
        <f t="shared" si="41"/>
        <v>0.06796769851951548</v>
      </c>
      <c r="L138" s="75">
        <f t="shared" si="41"/>
        <v>0.06752912753770018</v>
      </c>
      <c r="M138" s="75">
        <f t="shared" si="41"/>
        <v>0.06651249862349962</v>
      </c>
      <c r="N138" s="75">
        <f t="shared" si="41"/>
        <v>0.06396420110555409</v>
      </c>
      <c r="O138" s="75">
        <f t="shared" si="41"/>
        <v>0.06562258313998454</v>
      </c>
      <c r="P138" s="75">
        <f t="shared" si="41"/>
        <v>0.06298769507803122</v>
      </c>
      <c r="Q138" s="75">
        <f t="shared" si="41"/>
        <v>0.06491813336400935</v>
      </c>
      <c r="R138" s="75">
        <f t="shared" si="41"/>
        <v>0.06467928576902444</v>
      </c>
      <c r="S138" s="75">
        <f t="shared" si="41"/>
        <v>0.0625625440124532</v>
      </c>
      <c r="T138" s="75">
        <f t="shared" si="41"/>
        <v>0.06091443830969651</v>
      </c>
      <c r="U138" s="75">
        <f t="shared" si="41"/>
        <v>0.0609445647630989</v>
      </c>
      <c r="V138" s="75">
        <f t="shared" si="41"/>
        <v>0.06054996336148714</v>
      </c>
      <c r="W138" s="75">
        <f t="shared" si="41"/>
        <v>0.059990290588806436</v>
      </c>
      <c r="X138" s="75">
        <f t="shared" si="41"/>
        <v>0.06016899194340735</v>
      </c>
      <c r="Y138" s="75">
        <f t="shared" si="41"/>
        <v>0.059542036677894594</v>
      </c>
      <c r="Z138" s="75">
        <f t="shared" si="41"/>
        <v>0.05832779662202329</v>
      </c>
      <c r="AA138" s="75">
        <f t="shared" si="41"/>
        <v>0.0543853783572941</v>
      </c>
      <c r="AB138" s="75">
        <f t="shared" si="41"/>
        <v>0.05591450424335557</v>
      </c>
      <c r="AC138" s="75">
        <f t="shared" si="41"/>
        <v>0.05398206849983119</v>
      </c>
      <c r="AD138" s="75">
        <f t="shared" si="41"/>
        <v>0.053222964662079056</v>
      </c>
      <c r="AE138" s="75">
        <f t="shared" si="41"/>
        <v>0.053298171345293036</v>
      </c>
      <c r="AF138" s="75">
        <f t="shared" si="41"/>
        <v>0.051326790258087965</v>
      </c>
      <c r="AG138" s="75">
        <f t="shared" si="41"/>
        <v>0.05002534533012293</v>
      </c>
    </row>
    <row r="139" spans="2:33" ht="12.75">
      <c r="B139" s="73" t="s">
        <v>38</v>
      </c>
      <c r="C139" s="75">
        <f t="shared" si="35"/>
        <v>0</v>
      </c>
      <c r="D139" s="75">
        <f aca="true" t="shared" si="42" ref="D139:AG139">D72/D$108</f>
        <v>0</v>
      </c>
      <c r="E139" s="75">
        <f t="shared" si="42"/>
        <v>0</v>
      </c>
      <c r="F139" s="75">
        <f t="shared" si="42"/>
        <v>0</v>
      </c>
      <c r="G139" s="75">
        <f t="shared" si="42"/>
        <v>0</v>
      </c>
      <c r="H139" s="75">
        <f t="shared" si="42"/>
        <v>0</v>
      </c>
      <c r="I139" s="75">
        <f t="shared" si="42"/>
        <v>0</v>
      </c>
      <c r="J139" s="75">
        <f t="shared" si="42"/>
        <v>0</v>
      </c>
      <c r="K139" s="75">
        <f t="shared" si="42"/>
        <v>0</v>
      </c>
      <c r="L139" s="75">
        <f t="shared" si="42"/>
        <v>0</v>
      </c>
      <c r="M139" s="75">
        <f t="shared" si="42"/>
        <v>0</v>
      </c>
      <c r="N139" s="75">
        <f t="shared" si="42"/>
        <v>0</v>
      </c>
      <c r="O139" s="75">
        <f t="shared" si="42"/>
        <v>0</v>
      </c>
      <c r="P139" s="75">
        <f t="shared" si="42"/>
        <v>0</v>
      </c>
      <c r="Q139" s="75">
        <f t="shared" si="42"/>
        <v>0</v>
      </c>
      <c r="R139" s="75">
        <f t="shared" si="42"/>
        <v>0</v>
      </c>
      <c r="S139" s="75">
        <f t="shared" si="42"/>
        <v>0</v>
      </c>
      <c r="T139" s="75">
        <f t="shared" si="42"/>
        <v>0</v>
      </c>
      <c r="U139" s="75">
        <f t="shared" si="42"/>
        <v>0</v>
      </c>
      <c r="V139" s="75">
        <f t="shared" si="42"/>
        <v>0</v>
      </c>
      <c r="W139" s="75">
        <f t="shared" si="42"/>
        <v>0</v>
      </c>
      <c r="X139" s="75">
        <f t="shared" si="42"/>
        <v>0</v>
      </c>
      <c r="Y139" s="75">
        <f t="shared" si="42"/>
        <v>0</v>
      </c>
      <c r="Z139" s="75">
        <f t="shared" si="42"/>
        <v>0.0014686855264538238</v>
      </c>
      <c r="AA139" s="75">
        <f t="shared" si="42"/>
        <v>0.003491957353542108</v>
      </c>
      <c r="AB139" s="75">
        <f t="shared" si="42"/>
        <v>0.0040163447770055535</v>
      </c>
      <c r="AC139" s="75">
        <f t="shared" si="42"/>
        <v>0.005251903815132986</v>
      </c>
      <c r="AD139" s="75">
        <f t="shared" si="42"/>
        <v>0.007646022406170008</v>
      </c>
      <c r="AE139" s="75">
        <f t="shared" si="42"/>
        <v>0.008709531906034214</v>
      </c>
      <c r="AF139" s="75">
        <f t="shared" si="42"/>
        <v>0.010323518720465285</v>
      </c>
      <c r="AG139" s="75">
        <f t="shared" si="42"/>
        <v>0.009757952097326068</v>
      </c>
    </row>
    <row r="140" spans="2:33" ht="12.75">
      <c r="B140" s="73" t="s">
        <v>6</v>
      </c>
      <c r="C140" s="75">
        <f t="shared" si="35"/>
        <v>0.01376409083483091</v>
      </c>
      <c r="D140" s="75">
        <f aca="true" t="shared" si="43" ref="D140:AG140">D73/D$108</f>
        <v>0.013673616714085525</v>
      </c>
      <c r="E140" s="75">
        <f t="shared" si="43"/>
        <v>0.013637099384914211</v>
      </c>
      <c r="F140" s="75">
        <f t="shared" si="43"/>
        <v>0.01360374932603376</v>
      </c>
      <c r="G140" s="75">
        <f t="shared" si="43"/>
        <v>0.012625571668686237</v>
      </c>
      <c r="H140" s="75">
        <f t="shared" si="43"/>
        <v>0.012607649934052292</v>
      </c>
      <c r="I140" s="75">
        <f t="shared" si="43"/>
        <v>0.012723060038209829</v>
      </c>
      <c r="J140" s="75">
        <f t="shared" si="43"/>
        <v>0.011541257724463832</v>
      </c>
      <c r="K140" s="75">
        <f t="shared" si="43"/>
        <v>0.012584118438761777</v>
      </c>
      <c r="L140" s="75">
        <f t="shared" si="43"/>
        <v>0.01204068113626622</v>
      </c>
      <c r="M140" s="75">
        <f t="shared" si="43"/>
        <v>0.012516976838086847</v>
      </c>
      <c r="N140" s="75">
        <f t="shared" si="43"/>
        <v>0.012785319444966721</v>
      </c>
      <c r="O140" s="75">
        <f t="shared" si="43"/>
        <v>0.01237432327919567</v>
      </c>
      <c r="P140" s="75">
        <f t="shared" si="43"/>
        <v>0.01211734693877551</v>
      </c>
      <c r="Q140" s="75">
        <f t="shared" si="43"/>
        <v>0.012577169369991181</v>
      </c>
      <c r="R140" s="75">
        <f t="shared" si="43"/>
        <v>0.012759598436661813</v>
      </c>
      <c r="S140" s="75">
        <f t="shared" si="43"/>
        <v>0.012823838997813275</v>
      </c>
      <c r="T140" s="75">
        <f t="shared" si="43"/>
        <v>0.012666450146151347</v>
      </c>
      <c r="U140" s="75">
        <f t="shared" si="43"/>
        <v>0.012728447129450208</v>
      </c>
      <c r="V140" s="75">
        <f t="shared" si="43"/>
        <v>0.01253422808438428</v>
      </c>
      <c r="W140" s="75">
        <f t="shared" si="43"/>
        <v>0.012968999237117692</v>
      </c>
      <c r="X140" s="75">
        <f t="shared" si="43"/>
        <v>0.012458243269797603</v>
      </c>
      <c r="Y140" s="75">
        <f t="shared" si="43"/>
        <v>0.012146575482290497</v>
      </c>
      <c r="Z140" s="75">
        <f t="shared" si="43"/>
        <v>0.012239046053781866</v>
      </c>
      <c r="AA140" s="75">
        <f t="shared" si="43"/>
        <v>0.011516029570192057</v>
      </c>
      <c r="AB140" s="75">
        <f t="shared" si="43"/>
        <v>0.011804561170677191</v>
      </c>
      <c r="AC140" s="75">
        <f t="shared" si="43"/>
        <v>0.010991484413099748</v>
      </c>
      <c r="AD140" s="75">
        <f t="shared" si="43"/>
        <v>0.011336059306539012</v>
      </c>
      <c r="AE140" s="75">
        <f t="shared" si="43"/>
        <v>0.010860890384815573</v>
      </c>
      <c r="AF140" s="75">
        <f t="shared" si="43"/>
        <v>0.011014176663031625</v>
      </c>
      <c r="AG140" s="75">
        <f t="shared" si="43"/>
        <v>0.010803446964896718</v>
      </c>
    </row>
    <row r="141" spans="2:33" ht="12.75">
      <c r="B141" s="73" t="s">
        <v>7</v>
      </c>
      <c r="C141" s="75">
        <f t="shared" si="35"/>
        <v>0.024179055709851332</v>
      </c>
      <c r="D141" s="75">
        <f aca="true" t="shared" si="44" ref="D141:AG141">D74/D$108</f>
        <v>0.02441717270372415</v>
      </c>
      <c r="E141" s="75">
        <f t="shared" si="44"/>
        <v>0.025250890255746197</v>
      </c>
      <c r="F141" s="75">
        <f t="shared" si="44"/>
        <v>0.0252581809132761</v>
      </c>
      <c r="G141" s="75">
        <f t="shared" si="44"/>
        <v>0.025720204823515617</v>
      </c>
      <c r="H141" s="75">
        <f t="shared" si="44"/>
        <v>0.02467220110171464</v>
      </c>
      <c r="I141" s="75">
        <f t="shared" si="44"/>
        <v>0.024673793748221616</v>
      </c>
      <c r="J141" s="75">
        <f t="shared" si="44"/>
        <v>0.024581970192657215</v>
      </c>
      <c r="K141" s="75">
        <f t="shared" si="44"/>
        <v>0.024528936742934052</v>
      </c>
      <c r="L141" s="75">
        <f t="shared" si="44"/>
        <v>0.023457896582628687</v>
      </c>
      <c r="M141" s="75">
        <f t="shared" si="44"/>
        <v>0.023492273244503176</v>
      </c>
      <c r="N141" s="75">
        <f t="shared" si="44"/>
        <v>0.023577633211747454</v>
      </c>
      <c r="O141" s="75">
        <f t="shared" si="44"/>
        <v>0.023163186388244394</v>
      </c>
      <c r="P141" s="75">
        <f t="shared" si="44"/>
        <v>0.023259303721488597</v>
      </c>
      <c r="Q141" s="75">
        <f t="shared" si="44"/>
        <v>0.022431841711722075</v>
      </c>
      <c r="R141" s="75">
        <f t="shared" si="44"/>
        <v>0.022568779216798222</v>
      </c>
      <c r="S141" s="75">
        <f t="shared" si="44"/>
        <v>0.02223787109447389</v>
      </c>
      <c r="T141" s="75">
        <f t="shared" si="44"/>
        <v>0.021760311789542058</v>
      </c>
      <c r="U141" s="75">
        <f t="shared" si="44"/>
        <v>0.021277404156692884</v>
      </c>
      <c r="V141" s="75">
        <f t="shared" si="44"/>
        <v>0.021520305449496704</v>
      </c>
      <c r="W141" s="75">
        <f t="shared" si="44"/>
        <v>0.02153408696858312</v>
      </c>
      <c r="X141" s="75">
        <f t="shared" si="44"/>
        <v>0.02090784044016506</v>
      </c>
      <c r="Y141" s="75">
        <f t="shared" si="44"/>
        <v>0.020108196386648975</v>
      </c>
      <c r="Z141" s="75">
        <f t="shared" si="44"/>
        <v>0.020281847746267092</v>
      </c>
      <c r="AA141" s="75">
        <f t="shared" si="44"/>
        <v>0.0203573684015008</v>
      </c>
      <c r="AB141" s="75">
        <f t="shared" si="44"/>
        <v>0.019837250724688296</v>
      </c>
      <c r="AC141" s="75">
        <f t="shared" si="44"/>
        <v>0.019281989721273964</v>
      </c>
      <c r="AD141" s="75">
        <f t="shared" si="44"/>
        <v>0.01884910740999302</v>
      </c>
      <c r="AE141" s="75">
        <f t="shared" si="44"/>
        <v>0.01904993233630591</v>
      </c>
      <c r="AF141" s="75">
        <f t="shared" si="44"/>
        <v>0.018502362777171936</v>
      </c>
      <c r="AG141" s="75">
        <f t="shared" si="44"/>
        <v>0.017931821061969333</v>
      </c>
    </row>
    <row r="142" spans="2:33" ht="12.75">
      <c r="B142" s="73" t="s">
        <v>8</v>
      </c>
      <c r="C142" s="75">
        <f t="shared" si="35"/>
        <v>0.026384577683385067</v>
      </c>
      <c r="D142" s="75">
        <f aca="true" t="shared" si="45" ref="D142:AG142">D75/D$108</f>
        <v>0.026030829334578964</v>
      </c>
      <c r="E142" s="75">
        <f t="shared" si="45"/>
        <v>0.02662674004532211</v>
      </c>
      <c r="F142" s="75">
        <f t="shared" si="45"/>
        <v>0.027456347725104725</v>
      </c>
      <c r="G142" s="75">
        <f t="shared" si="45"/>
        <v>0.027596450768088185</v>
      </c>
      <c r="H142" s="75">
        <f t="shared" si="45"/>
        <v>0.027969586469082163</v>
      </c>
      <c r="I142" s="75">
        <f t="shared" si="45"/>
        <v>0.02877931791390594</v>
      </c>
      <c r="J142" s="75">
        <f t="shared" si="45"/>
        <v>0.029034896401308616</v>
      </c>
      <c r="K142" s="75">
        <f t="shared" si="45"/>
        <v>0.03031628532974428</v>
      </c>
      <c r="L142" s="75">
        <f t="shared" si="45"/>
        <v>0.028952187974905504</v>
      </c>
      <c r="M142" s="75">
        <f t="shared" si="45"/>
        <v>0.028704621370627317</v>
      </c>
      <c r="N142" s="75">
        <f t="shared" si="45"/>
        <v>0.029105403677659535</v>
      </c>
      <c r="O142" s="75">
        <f t="shared" si="45"/>
        <v>0.02846094354215004</v>
      </c>
      <c r="P142" s="75">
        <f t="shared" si="45"/>
        <v>0.028286314525810326</v>
      </c>
      <c r="Q142" s="75">
        <f t="shared" si="45"/>
        <v>0.028835461482418806</v>
      </c>
      <c r="R142" s="75">
        <f t="shared" si="45"/>
        <v>0.029619127902521265</v>
      </c>
      <c r="S142" s="75">
        <f t="shared" si="45"/>
        <v>0.027686149512619992</v>
      </c>
      <c r="T142" s="75">
        <f t="shared" si="45"/>
        <v>0.029374616578254124</v>
      </c>
      <c r="U142" s="75">
        <f t="shared" si="45"/>
        <v>0.028838481705231962</v>
      </c>
      <c r="V142" s="75">
        <f t="shared" si="45"/>
        <v>0.02850090632110764</v>
      </c>
      <c r="W142" s="75">
        <f t="shared" si="45"/>
        <v>0.02805326305569041</v>
      </c>
      <c r="X142" s="75">
        <f t="shared" si="45"/>
        <v>0.029278836706622124</v>
      </c>
      <c r="Y142" s="75">
        <f t="shared" si="45"/>
        <v>0.028648225647307</v>
      </c>
      <c r="Z142" s="75">
        <f t="shared" si="45"/>
        <v>0.027660244081547016</v>
      </c>
      <c r="AA142" s="75">
        <f t="shared" si="45"/>
        <v>0.02719268917864705</v>
      </c>
      <c r="AB142" s="75">
        <f t="shared" si="45"/>
        <v>0.025984004470366362</v>
      </c>
      <c r="AC142" s="75">
        <f t="shared" si="45"/>
        <v>0.027534981430768653</v>
      </c>
      <c r="AD142" s="75">
        <f t="shared" si="45"/>
        <v>0.026295668362089027</v>
      </c>
      <c r="AE142" s="75">
        <f t="shared" si="45"/>
        <v>0.027169575627190395</v>
      </c>
      <c r="AF142" s="75">
        <f t="shared" si="45"/>
        <v>0.026172300981461286</v>
      </c>
      <c r="AG142" s="75">
        <f t="shared" si="45"/>
        <v>0.025186921809656572</v>
      </c>
    </row>
    <row r="143" spans="2:33" ht="12.75">
      <c r="B143" s="73" t="s">
        <v>9</v>
      </c>
      <c r="C143" s="75">
        <f t="shared" si="35"/>
        <v>0.14352230027773238</v>
      </c>
      <c r="D143" s="75">
        <f aca="true" t="shared" si="46" ref="D143:AG143">D76/D$108</f>
        <v>0.1448893795914901</v>
      </c>
      <c r="E143" s="75">
        <f t="shared" si="46"/>
        <v>0.14494982194885075</v>
      </c>
      <c r="F143" s="75">
        <f t="shared" si="46"/>
        <v>0.14781634938409854</v>
      </c>
      <c r="G143" s="75">
        <f t="shared" si="46"/>
        <v>0.1478716335066255</v>
      </c>
      <c r="H143" s="75">
        <f t="shared" si="46"/>
        <v>0.14908061137403988</v>
      </c>
      <c r="I143" s="75">
        <f t="shared" si="46"/>
        <v>0.15365229055729443</v>
      </c>
      <c r="J143" s="75">
        <f t="shared" si="46"/>
        <v>0.1514903671392221</v>
      </c>
      <c r="K143" s="75">
        <f t="shared" si="46"/>
        <v>0.15353297442799463</v>
      </c>
      <c r="L143" s="75">
        <f t="shared" si="46"/>
        <v>0.15415189182870281</v>
      </c>
      <c r="M143" s="75">
        <f t="shared" si="46"/>
        <v>0.15240612267371434</v>
      </c>
      <c r="N143" s="75">
        <f t="shared" si="46"/>
        <v>0.15455194976121536</v>
      </c>
      <c r="O143" s="75">
        <f t="shared" si="46"/>
        <v>0.15649651972157771</v>
      </c>
      <c r="P143" s="75">
        <f t="shared" si="46"/>
        <v>0.1519732893157263</v>
      </c>
      <c r="Q143" s="75">
        <f t="shared" si="46"/>
        <v>0.15621764638214655</v>
      </c>
      <c r="R143" s="75">
        <f t="shared" si="46"/>
        <v>0.15445628017472604</v>
      </c>
      <c r="S143" s="75">
        <f t="shared" si="46"/>
        <v>0.1604833030651199</v>
      </c>
      <c r="T143" s="75">
        <f t="shared" si="46"/>
        <v>0.16054996210890982</v>
      </c>
      <c r="U143" s="75">
        <f t="shared" si="46"/>
        <v>0.16079638284129336</v>
      </c>
      <c r="V143" s="75">
        <f t="shared" si="46"/>
        <v>0.1615565582938023</v>
      </c>
      <c r="W143" s="75">
        <f t="shared" si="46"/>
        <v>0.15906096123170815</v>
      </c>
      <c r="X143" s="75">
        <f t="shared" si="46"/>
        <v>0.15904892906268422</v>
      </c>
      <c r="Y143" s="75">
        <f t="shared" si="46"/>
        <v>0.1598448504644279</v>
      </c>
      <c r="Z143" s="75">
        <f t="shared" si="46"/>
        <v>0.16057628422561807</v>
      </c>
      <c r="AA143" s="75">
        <f t="shared" si="46"/>
        <v>0.1572866748393328</v>
      </c>
      <c r="AB143" s="75">
        <f t="shared" si="46"/>
        <v>0.1593266510669507</v>
      </c>
      <c r="AC143" s="75">
        <f t="shared" si="46"/>
        <v>0.1593952807892861</v>
      </c>
      <c r="AD143" s="75">
        <f t="shared" si="46"/>
        <v>0.15727535653734917</v>
      </c>
      <c r="AE143" s="75">
        <f t="shared" si="46"/>
        <v>0.15645928033588952</v>
      </c>
      <c r="AF143" s="75">
        <f t="shared" si="46"/>
        <v>0.15986913849509268</v>
      </c>
      <c r="AG143" s="75">
        <f t="shared" si="46"/>
        <v>0.15834494994297302</v>
      </c>
    </row>
    <row r="144" spans="2:33" ht="12.75">
      <c r="B144" s="73" t="s">
        <v>10</v>
      </c>
      <c r="C144" s="75">
        <f t="shared" si="35"/>
        <v>0.0508086913902957</v>
      </c>
      <c r="D144" s="75">
        <f aca="true" t="shared" si="47" ref="D144:AG144">D77/D$108</f>
        <v>0.050235678797401165</v>
      </c>
      <c r="E144" s="75">
        <f t="shared" si="47"/>
        <v>0.051513434768533505</v>
      </c>
      <c r="F144" s="75">
        <f t="shared" si="47"/>
        <v>0.0512214342001576</v>
      </c>
      <c r="G144" s="75">
        <f t="shared" si="47"/>
        <v>0.051440409647031234</v>
      </c>
      <c r="H144" s="75">
        <f t="shared" si="47"/>
        <v>0.05109007680968267</v>
      </c>
      <c r="I144" s="75">
        <f t="shared" si="47"/>
        <v>0.05052640136579814</v>
      </c>
      <c r="J144" s="75">
        <f t="shared" si="47"/>
        <v>0.05348055252635405</v>
      </c>
      <c r="K144" s="75">
        <f t="shared" si="47"/>
        <v>0.05430686406460296</v>
      </c>
      <c r="L144" s="75">
        <f t="shared" si="47"/>
        <v>0.05564431282390991</v>
      </c>
      <c r="M144" s="75">
        <f t="shared" si="47"/>
        <v>0.054289175200969056</v>
      </c>
      <c r="N144" s="75">
        <f t="shared" si="47"/>
        <v>0.05351032226525777</v>
      </c>
      <c r="O144" s="75">
        <f t="shared" si="47"/>
        <v>0.0522815158546017</v>
      </c>
      <c r="P144" s="75">
        <f t="shared" si="47"/>
        <v>0.05390906362545018</v>
      </c>
      <c r="Q144" s="75">
        <f t="shared" si="47"/>
        <v>0.052149238851182944</v>
      </c>
      <c r="R144" s="75">
        <f t="shared" si="47"/>
        <v>0.05291593225534524</v>
      </c>
      <c r="S144" s="75">
        <f t="shared" si="47"/>
        <v>0.05396390052258997</v>
      </c>
      <c r="T144" s="75">
        <f t="shared" si="47"/>
        <v>0.054924037385875646</v>
      </c>
      <c r="U144" s="75">
        <f t="shared" si="47"/>
        <v>0.05380143622478058</v>
      </c>
      <c r="V144" s="75">
        <f t="shared" si="47"/>
        <v>0.053145127077789345</v>
      </c>
      <c r="W144" s="75">
        <f t="shared" si="47"/>
        <v>0.054095290935571125</v>
      </c>
      <c r="X144" s="75">
        <f t="shared" si="47"/>
        <v>0.05242680290823344</v>
      </c>
      <c r="Y144" s="75">
        <f t="shared" si="47"/>
        <v>0.0540301452825695</v>
      </c>
      <c r="Z144" s="75">
        <f t="shared" si="47"/>
        <v>0.05203343008007833</v>
      </c>
      <c r="AA144" s="75">
        <f t="shared" si="47"/>
        <v>0.05312232995282143</v>
      </c>
      <c r="AB144" s="75">
        <f t="shared" si="47"/>
        <v>0.052561729472985715</v>
      </c>
      <c r="AC144" s="75">
        <f t="shared" si="47"/>
        <v>0.051806279776418954</v>
      </c>
      <c r="AD144" s="75">
        <f t="shared" si="47"/>
        <v>0.052458362421462054</v>
      </c>
      <c r="AE144" s="75">
        <f t="shared" si="47"/>
        <v>0.05333287067559596</v>
      </c>
      <c r="AF144" s="75">
        <f t="shared" si="47"/>
        <v>0.0509996364958197</v>
      </c>
      <c r="AG144" s="75">
        <f t="shared" si="47"/>
        <v>0.05183120010138132</v>
      </c>
    </row>
    <row r="145" spans="2:33" ht="12.75">
      <c r="B145" s="73" t="s">
        <v>11</v>
      </c>
      <c r="C145" s="75">
        <f t="shared" si="35"/>
        <v>0.038964221532429344</v>
      </c>
      <c r="D145" s="75">
        <f aca="true" t="shared" si="48" ref="D145:AG145">D78/D$108</f>
        <v>0.03898254702959786</v>
      </c>
      <c r="E145" s="75">
        <f t="shared" si="48"/>
        <v>0.03917125283263192</v>
      </c>
      <c r="F145" s="75">
        <f t="shared" si="48"/>
        <v>0.038613081166272656</v>
      </c>
      <c r="G145" s="75">
        <f t="shared" si="48"/>
        <v>0.03861939569245202</v>
      </c>
      <c r="H145" s="75">
        <f t="shared" si="48"/>
        <v>0.03879276902785321</v>
      </c>
      <c r="I145" s="75">
        <f t="shared" si="48"/>
        <v>0.039063452705174584</v>
      </c>
      <c r="J145" s="75">
        <f t="shared" si="48"/>
        <v>0.036941112322791715</v>
      </c>
      <c r="K145" s="75">
        <f t="shared" si="48"/>
        <v>0.03950201884253028</v>
      </c>
      <c r="L145" s="75">
        <f t="shared" si="48"/>
        <v>0.03822624011222382</v>
      </c>
      <c r="M145" s="75">
        <f t="shared" si="48"/>
        <v>0.03990015783871086</v>
      </c>
      <c r="N145" s="75">
        <f t="shared" si="48"/>
        <v>0.038694393261384574</v>
      </c>
      <c r="O145" s="75">
        <f t="shared" si="48"/>
        <v>0.03824439288476411</v>
      </c>
      <c r="P145" s="75">
        <f t="shared" si="48"/>
        <v>0.04092887154861945</v>
      </c>
      <c r="Q145" s="75">
        <f t="shared" si="48"/>
        <v>0.038805168909850835</v>
      </c>
      <c r="R145" s="75">
        <f t="shared" si="48"/>
        <v>0.03793394129818377</v>
      </c>
      <c r="S145" s="75">
        <f t="shared" si="48"/>
        <v>0.03828620140098588</v>
      </c>
      <c r="T145" s="75">
        <f t="shared" si="48"/>
        <v>0.038937606004835625</v>
      </c>
      <c r="U145" s="75">
        <f t="shared" si="48"/>
        <v>0.03978114670010259</v>
      </c>
      <c r="V145" s="75">
        <f t="shared" si="48"/>
        <v>0.03980099502487562</v>
      </c>
      <c r="W145" s="75">
        <f t="shared" si="48"/>
        <v>0.039704556487967266</v>
      </c>
      <c r="X145" s="75">
        <f t="shared" si="48"/>
        <v>0.04047946551385341</v>
      </c>
      <c r="Y145" s="75">
        <f t="shared" si="48"/>
        <v>0.040318464836174336</v>
      </c>
      <c r="Z145" s="75">
        <f t="shared" si="48"/>
        <v>0.03986432143231808</v>
      </c>
      <c r="AA145" s="75">
        <f t="shared" si="48"/>
        <v>0.0414948549351759</v>
      </c>
      <c r="AB145" s="75">
        <f t="shared" si="48"/>
        <v>0.04016344777005553</v>
      </c>
      <c r="AC145" s="75">
        <f t="shared" si="48"/>
        <v>0.040627227369921595</v>
      </c>
      <c r="AD145" s="75">
        <f t="shared" si="48"/>
        <v>0.03982580366344204</v>
      </c>
      <c r="AE145" s="75">
        <f t="shared" si="48"/>
        <v>0.039834831187758074</v>
      </c>
      <c r="AF145" s="75">
        <f t="shared" si="48"/>
        <v>0.04013086150490731</v>
      </c>
      <c r="AG145" s="75">
        <f t="shared" si="48"/>
        <v>0.040204029907489544</v>
      </c>
    </row>
    <row r="146" spans="2:33" ht="12.75">
      <c r="B146" s="73" t="s">
        <v>12</v>
      </c>
      <c r="C146" s="75">
        <f t="shared" si="35"/>
        <v>0.002287207972553504</v>
      </c>
      <c r="D146" s="75">
        <f aca="true" t="shared" si="49" ref="D146:AG146">D79/D$108</f>
        <v>0.0016136566308548135</v>
      </c>
      <c r="E146" s="75">
        <f t="shared" si="49"/>
        <v>0.0023470378763353838</v>
      </c>
      <c r="F146" s="75">
        <f t="shared" si="49"/>
        <v>0.0026543901123968314</v>
      </c>
      <c r="G146" s="75">
        <f t="shared" si="49"/>
        <v>0.0025798381737872807</v>
      </c>
      <c r="H146" s="75">
        <f t="shared" si="49"/>
        <v>0.0031034215222282566</v>
      </c>
      <c r="I146" s="75">
        <f t="shared" si="49"/>
        <v>0.002764115279866672</v>
      </c>
      <c r="J146" s="75">
        <f t="shared" si="49"/>
        <v>0.002817157397310069</v>
      </c>
      <c r="K146" s="75">
        <f t="shared" si="49"/>
        <v>0.0034993270524899056</v>
      </c>
      <c r="L146" s="75">
        <f t="shared" si="49"/>
        <v>0.0033121614776136852</v>
      </c>
      <c r="M146" s="75">
        <f t="shared" si="49"/>
        <v>0.003009947509451969</v>
      </c>
      <c r="N146" s="75">
        <f t="shared" si="49"/>
        <v>0.003459557026285113</v>
      </c>
      <c r="O146" s="75">
        <f t="shared" si="49"/>
        <v>0.0034802784222737818</v>
      </c>
      <c r="P146" s="75">
        <f t="shared" si="49"/>
        <v>0.0035264105642256903</v>
      </c>
      <c r="Q146" s="75">
        <f t="shared" si="49"/>
        <v>0.0037194677710034895</v>
      </c>
      <c r="R146" s="75">
        <f t="shared" si="49"/>
        <v>0.003793394129818377</v>
      </c>
      <c r="S146" s="75">
        <f t="shared" si="49"/>
        <v>0.0037433749675697715</v>
      </c>
      <c r="T146" s="75">
        <f t="shared" si="49"/>
        <v>0.004005629533398289</v>
      </c>
      <c r="U146" s="75">
        <f t="shared" si="49"/>
        <v>0.004027508643945439</v>
      </c>
      <c r="V146" s="75">
        <f t="shared" si="49"/>
        <v>0.004165220409580007</v>
      </c>
      <c r="W146" s="75">
        <f t="shared" si="49"/>
        <v>0.003987793883070948</v>
      </c>
      <c r="X146" s="75">
        <f t="shared" si="49"/>
        <v>0.004323049715071723</v>
      </c>
      <c r="Y146" s="75">
        <f t="shared" si="49"/>
        <v>0.00462726685039638</v>
      </c>
      <c r="Z146" s="75">
        <f t="shared" si="49"/>
        <v>0.004406056579361471</v>
      </c>
      <c r="AA146" s="75">
        <f t="shared" si="49"/>
        <v>0.005237936030313162</v>
      </c>
      <c r="AB146" s="75">
        <f t="shared" si="49"/>
        <v>0.004854538469598016</v>
      </c>
      <c r="AC146" s="75">
        <f t="shared" si="49"/>
        <v>0.005289417413812507</v>
      </c>
      <c r="AD146" s="75">
        <f t="shared" si="49"/>
        <v>0.004886805624813005</v>
      </c>
      <c r="AE146" s="75">
        <f t="shared" si="49"/>
        <v>0.0056559908393768</v>
      </c>
      <c r="AF146" s="75">
        <f t="shared" si="49"/>
        <v>0.0058160668847691745</v>
      </c>
      <c r="AG146" s="75">
        <f t="shared" si="49"/>
        <v>0.006368014193384869</v>
      </c>
    </row>
    <row r="147" spans="2:33" ht="12.75">
      <c r="B147" s="73" t="s">
        <v>13</v>
      </c>
      <c r="C147" s="75">
        <f t="shared" si="35"/>
        <v>0</v>
      </c>
      <c r="D147" s="75">
        <f aca="true" t="shared" si="50" ref="D147:AG147">D80/D$108</f>
        <v>0</v>
      </c>
      <c r="E147" s="75">
        <f t="shared" si="50"/>
        <v>0</v>
      </c>
      <c r="F147" s="75">
        <f t="shared" si="50"/>
        <v>0</v>
      </c>
      <c r="G147" s="75">
        <f t="shared" si="50"/>
        <v>0</v>
      </c>
      <c r="H147" s="75">
        <f t="shared" si="50"/>
        <v>0</v>
      </c>
      <c r="I147" s="75">
        <f t="shared" si="50"/>
        <v>0</v>
      </c>
      <c r="J147" s="75">
        <f t="shared" si="50"/>
        <v>0</v>
      </c>
      <c r="K147" s="75">
        <f t="shared" si="50"/>
        <v>0</v>
      </c>
      <c r="L147" s="75">
        <f t="shared" si="50"/>
        <v>0</v>
      </c>
      <c r="M147" s="75">
        <f t="shared" si="50"/>
        <v>0</v>
      </c>
      <c r="N147" s="75">
        <f t="shared" si="50"/>
        <v>0</v>
      </c>
      <c r="O147" s="75">
        <f t="shared" si="50"/>
        <v>0</v>
      </c>
      <c r="P147" s="75">
        <f t="shared" si="50"/>
        <v>0</v>
      </c>
      <c r="Q147" s="75">
        <f t="shared" si="50"/>
        <v>0</v>
      </c>
      <c r="R147" s="75">
        <f t="shared" si="50"/>
        <v>0</v>
      </c>
      <c r="S147" s="75">
        <f t="shared" si="50"/>
        <v>0</v>
      </c>
      <c r="T147" s="75">
        <f t="shared" si="50"/>
        <v>0</v>
      </c>
      <c r="U147" s="75">
        <f t="shared" si="50"/>
        <v>0</v>
      </c>
      <c r="V147" s="75">
        <f t="shared" si="50"/>
        <v>0.007019167727255197</v>
      </c>
      <c r="W147" s="75">
        <f t="shared" si="50"/>
        <v>0.015431028504057146</v>
      </c>
      <c r="X147" s="75">
        <f t="shared" si="50"/>
        <v>0.022126154450776182</v>
      </c>
      <c r="Y147" s="75">
        <f t="shared" si="50"/>
        <v>0.026810928515531966</v>
      </c>
      <c r="Z147" s="75">
        <f t="shared" si="50"/>
        <v>0.032975486939189426</v>
      </c>
      <c r="AA147" s="75">
        <f t="shared" si="50"/>
        <v>0.03800289758163379</v>
      </c>
      <c r="AB147" s="75">
        <f t="shared" si="50"/>
        <v>0.038871232493975484</v>
      </c>
      <c r="AC147" s="75">
        <f t="shared" si="50"/>
        <v>0.04490377761938703</v>
      </c>
      <c r="AD147" s="75">
        <f t="shared" si="50"/>
        <v>0.04979887636714205</v>
      </c>
      <c r="AE147" s="75">
        <f t="shared" si="50"/>
        <v>0.054616745896804195</v>
      </c>
      <c r="AF147" s="75">
        <f t="shared" si="50"/>
        <v>0.05997818974918211</v>
      </c>
      <c r="AG147" s="75">
        <f t="shared" si="50"/>
        <v>0.06190596882524395</v>
      </c>
    </row>
    <row r="148" spans="2:33" ht="12.75">
      <c r="B148" s="73" t="s">
        <v>14</v>
      </c>
      <c r="C148" s="75">
        <f t="shared" si="35"/>
        <v>0.025159287698088548</v>
      </c>
      <c r="D148" s="75">
        <f aca="true" t="shared" si="51" ref="D148:AG148">D81/D$108</f>
        <v>0.02615822327912013</v>
      </c>
      <c r="E148" s="75">
        <f t="shared" si="51"/>
        <v>0.027678860472644867</v>
      </c>
      <c r="F148" s="75">
        <f t="shared" si="51"/>
        <v>0.031147608975156567</v>
      </c>
      <c r="G148" s="75">
        <f t="shared" si="51"/>
        <v>0.0347496384317711</v>
      </c>
      <c r="H148" s="75">
        <f t="shared" si="51"/>
        <v>0.03576693304368066</v>
      </c>
      <c r="I148" s="75">
        <f t="shared" si="51"/>
        <v>0.03768139506524125</v>
      </c>
      <c r="J148" s="75">
        <f t="shared" si="51"/>
        <v>0.03757724463831334</v>
      </c>
      <c r="K148" s="75">
        <f t="shared" si="51"/>
        <v>0.03953566621803499</v>
      </c>
      <c r="L148" s="75">
        <f t="shared" si="51"/>
        <v>0.040798036083076805</v>
      </c>
      <c r="M148" s="75">
        <f t="shared" si="51"/>
        <v>0.041735491685937674</v>
      </c>
      <c r="N148" s="75">
        <f t="shared" si="51"/>
        <v>0.042718008498477046</v>
      </c>
      <c r="O148" s="75">
        <f t="shared" si="51"/>
        <v>0.0434261407579273</v>
      </c>
      <c r="P148" s="75">
        <f t="shared" si="51"/>
        <v>0.04355492196878751</v>
      </c>
      <c r="Q148" s="75">
        <f t="shared" si="51"/>
        <v>0.04398174776640209</v>
      </c>
      <c r="R148" s="75">
        <f t="shared" si="51"/>
        <v>0.044332899072725876</v>
      </c>
      <c r="S148" s="75">
        <f t="shared" si="51"/>
        <v>0.04729253919424781</v>
      </c>
      <c r="T148" s="75">
        <f t="shared" si="51"/>
        <v>0.04860885568907654</v>
      </c>
      <c r="U148" s="75">
        <f t="shared" si="51"/>
        <v>0.049697936851704094</v>
      </c>
      <c r="V148" s="75">
        <f t="shared" si="51"/>
        <v>0.049249874657719156</v>
      </c>
      <c r="W148" s="75">
        <f t="shared" si="51"/>
        <v>0.048893820653304665</v>
      </c>
      <c r="X148" s="75">
        <f t="shared" si="51"/>
        <v>0.0468854391825506</v>
      </c>
      <c r="Y148" s="75">
        <f t="shared" si="51"/>
        <v>0.045217923854241095</v>
      </c>
      <c r="Z148" s="75">
        <f t="shared" si="51"/>
        <v>0.04818687274888974</v>
      </c>
      <c r="AA148" s="75">
        <f t="shared" si="51"/>
        <v>0.0497046695642483</v>
      </c>
      <c r="AB148" s="75">
        <f t="shared" si="51"/>
        <v>0.04840568574721475</v>
      </c>
      <c r="AC148" s="75">
        <f t="shared" si="51"/>
        <v>0.04869265108601868</v>
      </c>
      <c r="AD148" s="75">
        <f t="shared" si="51"/>
        <v>0.04999833782121605</v>
      </c>
      <c r="AE148" s="75">
        <f t="shared" si="51"/>
        <v>0.04812797113015719</v>
      </c>
      <c r="AF148" s="75">
        <f t="shared" si="51"/>
        <v>0.04845510723373319</v>
      </c>
      <c r="AG148" s="75">
        <f t="shared" si="51"/>
        <v>0.04869471549866937</v>
      </c>
    </row>
    <row r="149" spans="2:33" ht="12.75">
      <c r="B149" s="73" t="s">
        <v>15</v>
      </c>
      <c r="C149" s="75">
        <f t="shared" si="35"/>
        <v>0.0024914229701029243</v>
      </c>
      <c r="D149" s="75">
        <f aca="true" t="shared" si="52" ref="D149:AG149">D82/D$108</f>
        <v>0.002208161705380271</v>
      </c>
      <c r="E149" s="75">
        <f t="shared" si="52"/>
        <v>0.0024684363871803174</v>
      </c>
      <c r="F149" s="75">
        <f t="shared" si="52"/>
        <v>0.0026543901123968314</v>
      </c>
      <c r="G149" s="75">
        <f t="shared" si="52"/>
        <v>0.0030488996599304227</v>
      </c>
      <c r="H149" s="75">
        <f t="shared" si="52"/>
        <v>0.00302583598417255</v>
      </c>
      <c r="I149" s="75">
        <f t="shared" si="52"/>
        <v>0.0031299540669078494</v>
      </c>
      <c r="J149" s="75">
        <f t="shared" si="52"/>
        <v>0.0036350418029807343</v>
      </c>
      <c r="K149" s="75">
        <f t="shared" si="52"/>
        <v>0.0035329744279946162</v>
      </c>
      <c r="L149" s="75">
        <f t="shared" si="52"/>
        <v>0.0033121614776136852</v>
      </c>
      <c r="M149" s="75">
        <f t="shared" si="52"/>
        <v>0.004514921264177954</v>
      </c>
      <c r="N149" s="75">
        <f t="shared" si="52"/>
        <v>0.0040236152370924675</v>
      </c>
      <c r="O149" s="75">
        <f t="shared" si="52"/>
        <v>0.003905645784996133</v>
      </c>
      <c r="P149" s="75">
        <f t="shared" si="52"/>
        <v>0.0048394357743097235</v>
      </c>
      <c r="Q149" s="75">
        <f t="shared" si="52"/>
        <v>0.004486368342344415</v>
      </c>
      <c r="R149" s="75">
        <f t="shared" si="52"/>
        <v>0.0043298337037320864</v>
      </c>
      <c r="S149" s="75">
        <f t="shared" si="52"/>
        <v>0.0038916274415329304</v>
      </c>
      <c r="T149" s="75">
        <f t="shared" si="52"/>
        <v>0.004691277831907907</v>
      </c>
      <c r="U149" s="75">
        <f t="shared" si="52"/>
        <v>0.004711425206124852</v>
      </c>
      <c r="V149" s="75">
        <f t="shared" si="52"/>
        <v>0.005052258089397971</v>
      </c>
      <c r="W149" s="75">
        <f t="shared" si="52"/>
        <v>0.005132117345169568</v>
      </c>
      <c r="X149" s="75">
        <f t="shared" si="52"/>
        <v>0.005541363725682845</v>
      </c>
      <c r="Y149" s="75">
        <f t="shared" si="52"/>
        <v>0.0055459154162838965</v>
      </c>
      <c r="Z149" s="75">
        <f t="shared" si="52"/>
        <v>0.006014616917858517</v>
      </c>
      <c r="AA149" s="75">
        <f t="shared" si="52"/>
        <v>0.005795163267580519</v>
      </c>
      <c r="AB149" s="75">
        <f t="shared" si="52"/>
        <v>0.005762581636573185</v>
      </c>
      <c r="AC149" s="75">
        <f t="shared" si="52"/>
        <v>0.006114716584761976</v>
      </c>
      <c r="AD149" s="75">
        <f t="shared" si="52"/>
        <v>0.005884112895183006</v>
      </c>
      <c r="AE149" s="75">
        <f t="shared" si="52"/>
        <v>0.006454075436344078</v>
      </c>
      <c r="AF149" s="75">
        <f t="shared" si="52"/>
        <v>0.006143220647037441</v>
      </c>
      <c r="AG149" s="75">
        <f t="shared" si="52"/>
        <v>0.0066848308199214295</v>
      </c>
    </row>
    <row r="150" spans="2:33" ht="12.75">
      <c r="B150" s="73" t="s">
        <v>16</v>
      </c>
      <c r="C150" s="75">
        <f t="shared" si="35"/>
        <v>0</v>
      </c>
      <c r="D150" s="75">
        <f aca="true" t="shared" si="53" ref="D150:AG150">D83/D$108</f>
        <v>0</v>
      </c>
      <c r="E150" s="75">
        <f t="shared" si="53"/>
        <v>0</v>
      </c>
      <c r="F150" s="75">
        <f t="shared" si="53"/>
        <v>0</v>
      </c>
      <c r="G150" s="75">
        <f t="shared" si="53"/>
        <v>0</v>
      </c>
      <c r="H150" s="75">
        <f t="shared" si="53"/>
        <v>0</v>
      </c>
      <c r="I150" s="75">
        <f t="shared" si="53"/>
        <v>0.0017478964269745133</v>
      </c>
      <c r="J150" s="75">
        <f t="shared" si="53"/>
        <v>0.006497637222828062</v>
      </c>
      <c r="K150" s="75">
        <f t="shared" si="53"/>
        <v>0.012045760430686406</v>
      </c>
      <c r="L150" s="75">
        <f t="shared" si="53"/>
        <v>0.017846705373494916</v>
      </c>
      <c r="M150" s="75">
        <f t="shared" si="53"/>
        <v>0.021363285981720076</v>
      </c>
      <c r="N150" s="75">
        <f t="shared" si="53"/>
        <v>0.023427217688865493</v>
      </c>
      <c r="O150" s="75">
        <f t="shared" si="53"/>
        <v>0.024168600154679042</v>
      </c>
      <c r="P150" s="75">
        <f t="shared" si="53"/>
        <v>0.026035414165666265</v>
      </c>
      <c r="Q150" s="75">
        <f t="shared" si="53"/>
        <v>0.02764676559684037</v>
      </c>
      <c r="R150" s="75">
        <f t="shared" si="53"/>
        <v>0.028891102766495518</v>
      </c>
      <c r="S150" s="75">
        <f t="shared" si="53"/>
        <v>0.0298358103850858</v>
      </c>
      <c r="T150" s="75">
        <f t="shared" si="53"/>
        <v>0.0325141640503771</v>
      </c>
      <c r="U150" s="75">
        <f t="shared" si="53"/>
        <v>0.03362589764048786</v>
      </c>
      <c r="V150" s="75">
        <f t="shared" si="53"/>
        <v>0.03282039415326468</v>
      </c>
      <c r="W150" s="75">
        <f t="shared" si="53"/>
        <v>0.033358762743602194</v>
      </c>
      <c r="X150" s="75">
        <f t="shared" si="53"/>
        <v>0.03470229907643938</v>
      </c>
      <c r="Y150" s="75">
        <f t="shared" si="53"/>
        <v>0.03330951651866217</v>
      </c>
      <c r="Z150" s="75">
        <f t="shared" si="53"/>
        <v>0.033150330454243454</v>
      </c>
      <c r="AA150" s="75">
        <f t="shared" si="53"/>
        <v>0.03228203127902225</v>
      </c>
      <c r="AB150" s="75">
        <f t="shared" si="53"/>
        <v>0.03359759717808124</v>
      </c>
      <c r="AC150" s="75">
        <f t="shared" si="53"/>
        <v>0.03368721161421015</v>
      </c>
      <c r="AD150" s="75">
        <f t="shared" si="53"/>
        <v>0.034972241614308036</v>
      </c>
      <c r="AE150" s="75">
        <f t="shared" si="53"/>
        <v>0.03556681356049828</v>
      </c>
      <c r="AF150" s="75">
        <f t="shared" si="53"/>
        <v>0.03551435841512177</v>
      </c>
      <c r="AG150" s="75">
        <f t="shared" si="53"/>
        <v>0.03646559371435813</v>
      </c>
    </row>
    <row r="151" spans="2:33" ht="12.75">
      <c r="B151" s="73" t="s">
        <v>17</v>
      </c>
      <c r="C151" s="75">
        <f t="shared" si="35"/>
        <v>0</v>
      </c>
      <c r="D151" s="75">
        <f aca="true" t="shared" si="54" ref="D151:AG151">D84/D$108</f>
        <v>0</v>
      </c>
      <c r="E151" s="75">
        <f t="shared" si="54"/>
        <v>0</v>
      </c>
      <c r="F151" s="75">
        <f t="shared" si="54"/>
        <v>0</v>
      </c>
      <c r="G151" s="75">
        <f t="shared" si="54"/>
        <v>0</v>
      </c>
      <c r="H151" s="75">
        <f t="shared" si="54"/>
        <v>0</v>
      </c>
      <c r="I151" s="75">
        <f t="shared" si="54"/>
        <v>0</v>
      </c>
      <c r="J151" s="75">
        <f t="shared" si="54"/>
        <v>0</v>
      </c>
      <c r="K151" s="75">
        <f t="shared" si="54"/>
        <v>0</v>
      </c>
      <c r="L151" s="75">
        <f t="shared" si="54"/>
        <v>0</v>
      </c>
      <c r="M151" s="75">
        <f t="shared" si="54"/>
        <v>0</v>
      </c>
      <c r="N151" s="75">
        <f t="shared" si="54"/>
        <v>0</v>
      </c>
      <c r="O151" s="75">
        <f t="shared" si="54"/>
        <v>0</v>
      </c>
      <c r="P151" s="75">
        <f t="shared" si="54"/>
        <v>0</v>
      </c>
      <c r="Q151" s="75">
        <f t="shared" si="54"/>
        <v>0</v>
      </c>
      <c r="R151" s="75">
        <f t="shared" si="54"/>
        <v>0</v>
      </c>
      <c r="S151" s="75">
        <f t="shared" si="54"/>
        <v>0</v>
      </c>
      <c r="T151" s="75">
        <f t="shared" si="54"/>
        <v>0</v>
      </c>
      <c r="U151" s="75">
        <f t="shared" si="54"/>
        <v>0.0004559443747862761</v>
      </c>
      <c r="V151" s="75">
        <f t="shared" si="54"/>
        <v>0.002044043349145744</v>
      </c>
      <c r="W151" s="75">
        <f t="shared" si="54"/>
        <v>0.0034676468548443026</v>
      </c>
      <c r="X151" s="75">
        <f t="shared" si="54"/>
        <v>0.004637453330713303</v>
      </c>
      <c r="Y151" s="75">
        <f t="shared" si="54"/>
        <v>0.005205675206695928</v>
      </c>
      <c r="Z151" s="75">
        <f t="shared" si="54"/>
        <v>0.006644053572053012</v>
      </c>
      <c r="AA151" s="75">
        <f t="shared" si="54"/>
        <v>0.006983914707084216</v>
      </c>
      <c r="AB151" s="75">
        <f t="shared" si="54"/>
        <v>0.007962840079628402</v>
      </c>
      <c r="AC151" s="75">
        <f t="shared" si="54"/>
        <v>0.00851558690025134</v>
      </c>
      <c r="AD151" s="75">
        <f t="shared" si="54"/>
        <v>0.00997307270370001</v>
      </c>
      <c r="AE151" s="75">
        <f t="shared" si="54"/>
        <v>0.011034387036330199</v>
      </c>
      <c r="AF151" s="75">
        <f t="shared" si="54"/>
        <v>0.011886586695747001</v>
      </c>
      <c r="AG151" s="75">
        <f t="shared" si="54"/>
        <v>0.013084526675959954</v>
      </c>
    </row>
    <row r="152" spans="2:33" ht="12.75">
      <c r="B152" s="73" t="s">
        <v>18</v>
      </c>
      <c r="C152" s="75">
        <f t="shared" si="35"/>
        <v>0</v>
      </c>
      <c r="D152" s="75">
        <f aca="true" t="shared" si="55" ref="D152:AG152">D85/D$108</f>
        <v>0</v>
      </c>
      <c r="E152" s="75">
        <f t="shared" si="55"/>
        <v>0</v>
      </c>
      <c r="F152" s="75">
        <f t="shared" si="55"/>
        <v>0</v>
      </c>
      <c r="G152" s="75">
        <f t="shared" si="55"/>
        <v>0</v>
      </c>
      <c r="H152" s="75">
        <f t="shared" si="55"/>
        <v>0</v>
      </c>
      <c r="I152" s="75">
        <f t="shared" si="55"/>
        <v>0</v>
      </c>
      <c r="J152" s="75">
        <f t="shared" si="55"/>
        <v>0</v>
      </c>
      <c r="K152" s="75">
        <f t="shared" si="55"/>
        <v>0</v>
      </c>
      <c r="L152" s="75">
        <f t="shared" si="55"/>
        <v>0</v>
      </c>
      <c r="M152" s="75">
        <f t="shared" si="55"/>
        <v>0</v>
      </c>
      <c r="N152" s="75">
        <f t="shared" si="55"/>
        <v>0</v>
      </c>
      <c r="O152" s="75">
        <f t="shared" si="55"/>
        <v>0</v>
      </c>
      <c r="P152" s="75">
        <f t="shared" si="55"/>
        <v>0</v>
      </c>
      <c r="Q152" s="75">
        <f t="shared" si="55"/>
        <v>0</v>
      </c>
      <c r="R152" s="75">
        <f t="shared" si="55"/>
        <v>0</v>
      </c>
      <c r="S152" s="75">
        <f t="shared" si="55"/>
        <v>0</v>
      </c>
      <c r="T152" s="75">
        <f t="shared" si="55"/>
        <v>0</v>
      </c>
      <c r="U152" s="75">
        <f t="shared" si="55"/>
        <v>7.599072913104601E-05</v>
      </c>
      <c r="V152" s="75">
        <f t="shared" si="55"/>
        <v>0.0011570056693277796</v>
      </c>
      <c r="W152" s="75">
        <f t="shared" si="55"/>
        <v>0.0015951175532283792</v>
      </c>
      <c r="X152" s="75">
        <f t="shared" si="55"/>
        <v>0.0023973275692670466</v>
      </c>
      <c r="Y152" s="75">
        <f t="shared" si="55"/>
        <v>0.002687897655744956</v>
      </c>
      <c r="Z152" s="75">
        <f t="shared" si="55"/>
        <v>0.003531839004091338</v>
      </c>
      <c r="AA152" s="75">
        <f t="shared" si="55"/>
        <v>0.0039005906608715036</v>
      </c>
      <c r="AB152" s="75">
        <f t="shared" si="55"/>
        <v>0.0047148395208326055</v>
      </c>
      <c r="AC152" s="75">
        <f t="shared" si="55"/>
        <v>0.004914281427017293</v>
      </c>
      <c r="AD152" s="75">
        <f t="shared" si="55"/>
        <v>0.005551677138393006</v>
      </c>
      <c r="AE152" s="75">
        <f t="shared" si="55"/>
        <v>0.0061417814636177525</v>
      </c>
      <c r="AF152" s="75">
        <f t="shared" si="55"/>
        <v>0.006543075245365322</v>
      </c>
      <c r="AG152" s="75">
        <f t="shared" si="55"/>
        <v>0.007635280699531111</v>
      </c>
    </row>
    <row r="153" spans="2:33" ht="12.75">
      <c r="B153" s="73" t="s">
        <v>19</v>
      </c>
      <c r="C153" s="75">
        <f t="shared" si="35"/>
        <v>0.0032674399607907204</v>
      </c>
      <c r="D153" s="75">
        <f aca="true" t="shared" si="56" ref="D153:AG153">D86/D$108</f>
        <v>0.0032697779098900164</v>
      </c>
      <c r="E153" s="75">
        <f t="shared" si="56"/>
        <v>0.00311589511168663</v>
      </c>
      <c r="F153" s="75">
        <f t="shared" si="56"/>
        <v>0.0031520882584712374</v>
      </c>
      <c r="G153" s="75">
        <f t="shared" si="56"/>
        <v>0.003361607317359184</v>
      </c>
      <c r="H153" s="75">
        <f t="shared" si="56"/>
        <v>0.003530141981534642</v>
      </c>
      <c r="I153" s="75">
        <f t="shared" si="56"/>
        <v>0.003292549083370595</v>
      </c>
      <c r="J153" s="75">
        <f t="shared" si="56"/>
        <v>0.0031352235550708833</v>
      </c>
      <c r="K153" s="75">
        <f t="shared" si="56"/>
        <v>0.0027254374158815612</v>
      </c>
      <c r="L153" s="75">
        <f t="shared" si="56"/>
        <v>0.0026107625764719635</v>
      </c>
      <c r="M153" s="75">
        <f t="shared" si="56"/>
        <v>0.002936534155562897</v>
      </c>
      <c r="N153" s="75">
        <f t="shared" si="56"/>
        <v>0.002782687173316286</v>
      </c>
      <c r="O153" s="75">
        <f t="shared" si="56"/>
        <v>0.002552204176334107</v>
      </c>
      <c r="P153" s="75">
        <f t="shared" si="56"/>
        <v>0.003001200480192077</v>
      </c>
      <c r="Q153" s="75">
        <f t="shared" si="56"/>
        <v>0.002952567199662564</v>
      </c>
      <c r="R153" s="75">
        <f t="shared" si="56"/>
        <v>0.003218637443482259</v>
      </c>
      <c r="S153" s="75">
        <f t="shared" si="56"/>
        <v>0.0027797338868092362</v>
      </c>
      <c r="T153" s="75">
        <f t="shared" si="56"/>
        <v>0.003067373967016708</v>
      </c>
      <c r="U153" s="75">
        <f t="shared" si="56"/>
        <v>0.0025836847904555644</v>
      </c>
      <c r="V153" s="75">
        <f t="shared" si="56"/>
        <v>0.002892514173319449</v>
      </c>
      <c r="W153" s="75">
        <f t="shared" si="56"/>
        <v>0.002427352798391012</v>
      </c>
      <c r="X153" s="75">
        <f t="shared" si="56"/>
        <v>0.0023187266653566514</v>
      </c>
      <c r="Y153" s="75">
        <f t="shared" si="56"/>
        <v>0.002721921676703753</v>
      </c>
      <c r="Z153" s="75">
        <f t="shared" si="56"/>
        <v>0.0023079343987131517</v>
      </c>
      <c r="AA153" s="75">
        <f t="shared" si="56"/>
        <v>0.002563245291429845</v>
      </c>
      <c r="AB153" s="75">
        <f t="shared" si="56"/>
        <v>0.002200258443055216</v>
      </c>
      <c r="AC153" s="75">
        <f t="shared" si="56"/>
        <v>0.002325843118130322</v>
      </c>
      <c r="AD153" s="75">
        <f t="shared" si="56"/>
        <v>0.003058408962468003</v>
      </c>
      <c r="AE153" s="75">
        <f t="shared" si="56"/>
        <v>0.0021860578090842847</v>
      </c>
      <c r="AF153" s="75">
        <f t="shared" si="56"/>
        <v>0.0020719738276990187</v>
      </c>
      <c r="AG153" s="75">
        <f t="shared" si="56"/>
        <v>0.002534533012292485</v>
      </c>
    </row>
    <row r="154" spans="2:33" ht="12.75">
      <c r="B154" s="73" t="s">
        <v>20</v>
      </c>
      <c r="C154" s="75">
        <f t="shared" si="35"/>
        <v>0.01335566083973207</v>
      </c>
      <c r="D154" s="75">
        <f aca="true" t="shared" si="57" ref="D154:AG154">D87/D$108</f>
        <v>0.010870949934179796</v>
      </c>
      <c r="E154" s="75">
        <f t="shared" si="57"/>
        <v>0.011209129168015539</v>
      </c>
      <c r="F154" s="75">
        <f t="shared" si="57"/>
        <v>0.011115258595661731</v>
      </c>
      <c r="G154" s="75">
        <f t="shared" si="57"/>
        <v>0.010592971895399289</v>
      </c>
      <c r="H154" s="75">
        <f t="shared" si="57"/>
        <v>0.012142136705718055</v>
      </c>
      <c r="I154" s="75">
        <f t="shared" si="57"/>
        <v>0.010446729807731392</v>
      </c>
      <c r="J154" s="75">
        <f t="shared" si="57"/>
        <v>0.01167757179207561</v>
      </c>
      <c r="K154" s="75">
        <f t="shared" si="57"/>
        <v>0.01069986541049798</v>
      </c>
      <c r="L154" s="75">
        <f t="shared" si="57"/>
        <v>0.009351985348556286</v>
      </c>
      <c r="M154" s="75">
        <f t="shared" si="57"/>
        <v>0.01046140292919282</v>
      </c>
      <c r="N154" s="75">
        <f t="shared" si="57"/>
        <v>0.009965028390929944</v>
      </c>
      <c r="O154" s="75">
        <f t="shared" si="57"/>
        <v>0.010402165506573859</v>
      </c>
      <c r="P154" s="75">
        <f t="shared" si="57"/>
        <v>0.010241596638655462</v>
      </c>
      <c r="Q154" s="75">
        <f t="shared" si="57"/>
        <v>0.009777982284596802</v>
      </c>
      <c r="R154" s="75">
        <f t="shared" si="57"/>
        <v>0.011303548164610315</v>
      </c>
      <c r="S154" s="75">
        <f t="shared" si="57"/>
        <v>0.01000704199251325</v>
      </c>
      <c r="T154" s="75">
        <f t="shared" si="57"/>
        <v>0.010212550972537981</v>
      </c>
      <c r="U154" s="75">
        <f t="shared" si="57"/>
        <v>0.009916790151601504</v>
      </c>
      <c r="V154" s="75">
        <f t="shared" si="57"/>
        <v>0.009294612210266498</v>
      </c>
      <c r="W154" s="75">
        <f t="shared" si="57"/>
        <v>0.009258617102434289</v>
      </c>
      <c r="X154" s="75">
        <f t="shared" si="57"/>
        <v>0.009943014344664963</v>
      </c>
      <c r="Y154" s="75">
        <f t="shared" si="57"/>
        <v>0.009560749889421932</v>
      </c>
      <c r="Z154" s="75">
        <f t="shared" si="57"/>
        <v>0.008847081861733748</v>
      </c>
      <c r="AA154" s="75">
        <f t="shared" si="57"/>
        <v>0.008952784278762213</v>
      </c>
      <c r="AB154" s="75">
        <f t="shared" si="57"/>
        <v>0.008451786400307337</v>
      </c>
      <c r="AC154" s="75">
        <f t="shared" si="57"/>
        <v>0.00960348126195746</v>
      </c>
      <c r="AD154" s="75">
        <f t="shared" si="57"/>
        <v>0.008310893919750009</v>
      </c>
      <c r="AE154" s="75">
        <f t="shared" si="57"/>
        <v>0.008744231236337139</v>
      </c>
      <c r="AF154" s="75">
        <f t="shared" si="57"/>
        <v>0.00861504907306434</v>
      </c>
      <c r="AG154" s="75">
        <f t="shared" si="57"/>
        <v>0.008300595615257889</v>
      </c>
    </row>
    <row r="155" spans="2:33" ht="12.75">
      <c r="B155" s="73" t="s">
        <v>21</v>
      </c>
      <c r="C155" s="75">
        <f t="shared" si="35"/>
        <v>0.004656101944126777</v>
      </c>
      <c r="D155" s="75">
        <f aca="true" t="shared" si="58" ref="D155:AG155">D88/D$108</f>
        <v>0.0051806870780075585</v>
      </c>
      <c r="E155" s="75">
        <f t="shared" si="58"/>
        <v>0.005058271285205568</v>
      </c>
      <c r="F155" s="75">
        <f t="shared" si="58"/>
        <v>0.004769607233213056</v>
      </c>
      <c r="G155" s="75">
        <f t="shared" si="58"/>
        <v>0.004964234061681586</v>
      </c>
      <c r="H155" s="75">
        <f t="shared" si="58"/>
        <v>0.004732717821398091</v>
      </c>
      <c r="I155" s="75">
        <f t="shared" si="58"/>
        <v>0.00512174301857648</v>
      </c>
      <c r="J155" s="75">
        <f t="shared" si="58"/>
        <v>0.00440748818611414</v>
      </c>
      <c r="K155" s="75">
        <f t="shared" si="58"/>
        <v>0.004979811574697173</v>
      </c>
      <c r="L155" s="75">
        <f t="shared" si="58"/>
        <v>0.00498772551923002</v>
      </c>
      <c r="M155" s="75">
        <f t="shared" si="58"/>
        <v>0.0049921080644569245</v>
      </c>
      <c r="N155" s="75">
        <f t="shared" si="58"/>
        <v>0.005151731658707179</v>
      </c>
      <c r="O155" s="75">
        <f t="shared" si="58"/>
        <v>0.004679040989945862</v>
      </c>
      <c r="P155" s="75">
        <f t="shared" si="58"/>
        <v>0.005402160864345739</v>
      </c>
      <c r="Q155" s="75">
        <f t="shared" si="58"/>
        <v>0.005214923885118294</v>
      </c>
      <c r="R155" s="75">
        <f t="shared" si="58"/>
        <v>0.005555981301249138</v>
      </c>
      <c r="S155" s="75">
        <f t="shared" si="58"/>
        <v>0.005337089062673733</v>
      </c>
      <c r="T155" s="75">
        <f t="shared" si="58"/>
        <v>0.005304752625311248</v>
      </c>
      <c r="U155" s="75">
        <f t="shared" si="58"/>
        <v>0.005357346403738744</v>
      </c>
      <c r="V155" s="75">
        <f t="shared" si="58"/>
        <v>0.005515060357129084</v>
      </c>
      <c r="W155" s="75">
        <f t="shared" si="58"/>
        <v>0.005756293779041542</v>
      </c>
      <c r="X155" s="75">
        <f t="shared" si="58"/>
        <v>0.005541363725682845</v>
      </c>
      <c r="Y155" s="75">
        <f t="shared" si="58"/>
        <v>0.005886155625871865</v>
      </c>
      <c r="Z155" s="75">
        <f t="shared" si="58"/>
        <v>0.006014616917858517</v>
      </c>
      <c r="AA155" s="75">
        <f t="shared" si="58"/>
        <v>0.0058694602325495004</v>
      </c>
      <c r="AB155" s="75">
        <f t="shared" si="58"/>
        <v>0.0060070547969126534</v>
      </c>
      <c r="AC155" s="75">
        <f t="shared" si="58"/>
        <v>0.005552012604569156</v>
      </c>
      <c r="AD155" s="75">
        <f t="shared" si="58"/>
        <v>0.005318972108640005</v>
      </c>
      <c r="AE155" s="75">
        <f t="shared" si="58"/>
        <v>0.005933585481800201</v>
      </c>
      <c r="AF155" s="75">
        <f t="shared" si="58"/>
        <v>0.005416212286441294</v>
      </c>
      <c r="AG155" s="75">
        <f t="shared" si="58"/>
        <v>0.005417564313775187</v>
      </c>
    </row>
    <row r="156" spans="2:33" ht="12.75">
      <c r="B156" s="73" t="s">
        <v>22</v>
      </c>
      <c r="C156" s="75">
        <f t="shared" si="35"/>
        <v>0.0017970919784348963</v>
      </c>
      <c r="D156" s="75">
        <f aca="true" t="shared" si="59" ref="D156:AG156">D89/D$108</f>
        <v>0.001698585927215593</v>
      </c>
      <c r="E156" s="75">
        <f t="shared" si="59"/>
        <v>0.0014163159598575591</v>
      </c>
      <c r="F156" s="75">
        <f t="shared" si="59"/>
        <v>0.001451619592717017</v>
      </c>
      <c r="G156" s="75">
        <f t="shared" si="59"/>
        <v>0.0016026267443224017</v>
      </c>
      <c r="H156" s="75">
        <f t="shared" si="59"/>
        <v>0.0014353324540305687</v>
      </c>
      <c r="I156" s="75">
        <f t="shared" si="59"/>
        <v>0.0015446526563960815</v>
      </c>
      <c r="J156" s="75">
        <f t="shared" si="59"/>
        <v>0.0013631406761177754</v>
      </c>
      <c r="K156" s="75">
        <f t="shared" si="59"/>
        <v>0.0013122476446837147</v>
      </c>
      <c r="L156" s="75">
        <f t="shared" si="59"/>
        <v>0.0012079647741885205</v>
      </c>
      <c r="M156" s="75">
        <f t="shared" si="59"/>
        <v>0.0011379069852806224</v>
      </c>
      <c r="N156" s="75">
        <f t="shared" si="59"/>
        <v>0.0012409280637761817</v>
      </c>
      <c r="O156" s="75">
        <f t="shared" si="59"/>
        <v>0.0011214230471771076</v>
      </c>
      <c r="P156" s="75">
        <f t="shared" si="59"/>
        <v>0.0012755102040816326</v>
      </c>
      <c r="Q156" s="75">
        <f t="shared" si="59"/>
        <v>0.001227040914145481</v>
      </c>
      <c r="R156" s="75">
        <f t="shared" si="59"/>
        <v>0.0013410989347842747</v>
      </c>
      <c r="S156" s="75">
        <f t="shared" si="59"/>
        <v>0.001186019791705274</v>
      </c>
      <c r="T156" s="75">
        <f t="shared" si="59"/>
        <v>0.0011908628342535456</v>
      </c>
      <c r="U156" s="75">
        <f t="shared" si="59"/>
        <v>0.001177856301531213</v>
      </c>
      <c r="V156" s="75">
        <f t="shared" si="59"/>
        <v>0.0010027382467507424</v>
      </c>
      <c r="W156" s="75">
        <f t="shared" si="59"/>
        <v>0.0010749705250017339</v>
      </c>
      <c r="X156" s="75">
        <f t="shared" si="59"/>
        <v>0.0011004126547455295</v>
      </c>
      <c r="Y156" s="75">
        <f t="shared" si="59"/>
        <v>0.0010547446497227043</v>
      </c>
      <c r="Z156" s="75">
        <f t="shared" si="59"/>
        <v>0.0008742175752701332</v>
      </c>
      <c r="AA156" s="75">
        <f t="shared" si="59"/>
        <v>0.0008172666146587912</v>
      </c>
      <c r="AB156" s="75">
        <f t="shared" si="59"/>
        <v>0.0006635700066357001</v>
      </c>
      <c r="AC156" s="75">
        <f t="shared" si="59"/>
        <v>0.0008628127696289905</v>
      </c>
      <c r="AD156" s="75">
        <f t="shared" si="59"/>
        <v>0.000930820119012001</v>
      </c>
      <c r="AE156" s="75">
        <f t="shared" si="59"/>
        <v>0.0007633852666643534</v>
      </c>
      <c r="AF156" s="75">
        <f t="shared" si="59"/>
        <v>0.0006179571065067248</v>
      </c>
      <c r="AG156" s="75">
        <f t="shared" si="59"/>
        <v>0.0006336332530731213</v>
      </c>
    </row>
    <row r="157" spans="2:33" ht="12.75">
      <c r="B157" s="73" t="s">
        <v>23</v>
      </c>
      <c r="C157" s="75">
        <f t="shared" si="35"/>
        <v>0</v>
      </c>
      <c r="D157" s="75">
        <f aca="true" t="shared" si="60" ref="D157:AG157">D90/D$108</f>
        <v>0</v>
      </c>
      <c r="E157" s="75">
        <f t="shared" si="60"/>
        <v>0</v>
      </c>
      <c r="F157" s="75">
        <f t="shared" si="60"/>
        <v>0</v>
      </c>
      <c r="G157" s="75">
        <f t="shared" si="60"/>
        <v>0</v>
      </c>
      <c r="H157" s="75">
        <f t="shared" si="60"/>
        <v>0</v>
      </c>
      <c r="I157" s="75">
        <f t="shared" si="60"/>
        <v>0</v>
      </c>
      <c r="J157" s="75">
        <f t="shared" si="60"/>
        <v>0</v>
      </c>
      <c r="K157" s="75">
        <f t="shared" si="60"/>
        <v>0</v>
      </c>
      <c r="L157" s="75">
        <f t="shared" si="60"/>
        <v>0</v>
      </c>
      <c r="M157" s="75">
        <f t="shared" si="60"/>
        <v>0</v>
      </c>
      <c r="N157" s="75">
        <f t="shared" si="60"/>
        <v>0</v>
      </c>
      <c r="O157" s="75">
        <f t="shared" si="60"/>
        <v>0</v>
      </c>
      <c r="P157" s="75">
        <f t="shared" si="60"/>
        <v>0</v>
      </c>
      <c r="Q157" s="75">
        <f t="shared" si="60"/>
        <v>0</v>
      </c>
      <c r="R157" s="75">
        <f t="shared" si="60"/>
        <v>0</v>
      </c>
      <c r="S157" s="75">
        <f t="shared" si="60"/>
        <v>0</v>
      </c>
      <c r="T157" s="75">
        <f t="shared" si="60"/>
        <v>0</v>
      </c>
      <c r="U157" s="75">
        <f t="shared" si="60"/>
        <v>0</v>
      </c>
      <c r="V157" s="75">
        <f t="shared" si="60"/>
        <v>0</v>
      </c>
      <c r="W157" s="75">
        <f t="shared" si="60"/>
        <v>0.0016297940217768223</v>
      </c>
      <c r="X157" s="75">
        <f t="shared" si="60"/>
        <v>0.009471408921202594</v>
      </c>
      <c r="Y157" s="75">
        <f t="shared" si="60"/>
        <v>0.01752237079378041</v>
      </c>
      <c r="Z157" s="75">
        <f t="shared" si="60"/>
        <v>0.023079343987131518</v>
      </c>
      <c r="AA157" s="75">
        <f t="shared" si="60"/>
        <v>0.03057320108473569</v>
      </c>
      <c r="AB157" s="75">
        <f t="shared" si="60"/>
        <v>0.03101316662592114</v>
      </c>
      <c r="AC157" s="75">
        <f t="shared" si="60"/>
        <v>0.033724725212889675</v>
      </c>
      <c r="AD157" s="75">
        <f t="shared" si="60"/>
        <v>0.036933612579369036</v>
      </c>
      <c r="AE157" s="75">
        <f t="shared" si="60"/>
        <v>0.038550955966549845</v>
      </c>
      <c r="AF157" s="75">
        <f t="shared" si="60"/>
        <v>0.03991275899672846</v>
      </c>
      <c r="AG157" s="75">
        <f t="shared" si="60"/>
        <v>0.04077429983525535</v>
      </c>
    </row>
    <row r="158" spans="2:33" ht="12.75">
      <c r="B158" s="73" t="s">
        <v>24</v>
      </c>
      <c r="C158" s="75">
        <f t="shared" si="35"/>
        <v>0.09536840385557915</v>
      </c>
      <c r="D158" s="75">
        <f aca="true" t="shared" si="61" ref="D158:AG158">D91/D$108</f>
        <v>0.09643721601766529</v>
      </c>
      <c r="E158" s="75">
        <f t="shared" si="61"/>
        <v>0.09396244739397863</v>
      </c>
      <c r="F158" s="75">
        <f t="shared" si="61"/>
        <v>0.0934843017709759</v>
      </c>
      <c r="G158" s="75">
        <f t="shared" si="61"/>
        <v>0.09518039322987921</v>
      </c>
      <c r="H158" s="75">
        <f t="shared" si="61"/>
        <v>0.09713709364574444</v>
      </c>
      <c r="I158" s="75">
        <f t="shared" si="61"/>
        <v>0.09357343197430999</v>
      </c>
      <c r="J158" s="75">
        <f t="shared" si="61"/>
        <v>0.09414758269720101</v>
      </c>
      <c r="K158" s="75">
        <f t="shared" si="61"/>
        <v>0.09182368775235532</v>
      </c>
      <c r="L158" s="75">
        <f t="shared" si="61"/>
        <v>0.09129875696528075</v>
      </c>
      <c r="M158" s="75">
        <f t="shared" si="61"/>
        <v>0.08769225122049701</v>
      </c>
      <c r="N158" s="75">
        <f t="shared" si="61"/>
        <v>0.09070056029782274</v>
      </c>
      <c r="O158" s="75">
        <f t="shared" si="61"/>
        <v>0.09273008507347255</v>
      </c>
      <c r="P158" s="75">
        <f t="shared" si="61"/>
        <v>0.09138655462184873</v>
      </c>
      <c r="Q158" s="75">
        <f t="shared" si="61"/>
        <v>0.08999578204685763</v>
      </c>
      <c r="R158" s="75">
        <f t="shared" si="61"/>
        <v>0.09111809334048586</v>
      </c>
      <c r="S158" s="75">
        <f t="shared" si="61"/>
        <v>0.0906563878284719</v>
      </c>
      <c r="T158" s="75">
        <f t="shared" si="61"/>
        <v>0.08841254375518746</v>
      </c>
      <c r="U158" s="75">
        <f t="shared" si="61"/>
        <v>0.08655344048026141</v>
      </c>
      <c r="V158" s="75">
        <f t="shared" si="61"/>
        <v>0.08669829148829496</v>
      </c>
      <c r="W158" s="75">
        <f t="shared" si="61"/>
        <v>0.08450655385255565</v>
      </c>
      <c r="X158" s="75">
        <f t="shared" si="61"/>
        <v>0.07789349577520141</v>
      </c>
      <c r="Y158" s="75">
        <f t="shared" si="61"/>
        <v>0.07015753121703923</v>
      </c>
      <c r="Z158" s="75">
        <f t="shared" si="61"/>
        <v>0.06357310207364408</v>
      </c>
      <c r="AA158" s="75">
        <f t="shared" si="61"/>
        <v>0.06018054162487462</v>
      </c>
      <c r="AB158" s="75">
        <f t="shared" si="61"/>
        <v>0.05783536478887996</v>
      </c>
      <c r="AC158" s="75">
        <f t="shared" si="61"/>
        <v>0.05420715009190832</v>
      </c>
      <c r="AD158" s="75">
        <f t="shared" si="61"/>
        <v>0.05259133672417805</v>
      </c>
      <c r="AE158" s="75">
        <f t="shared" si="61"/>
        <v>0.050036434296818075</v>
      </c>
      <c r="AF158" s="75">
        <f t="shared" si="61"/>
        <v>0.04729189385677935</v>
      </c>
      <c r="AG158" s="75">
        <f t="shared" si="61"/>
        <v>0.04745913065517678</v>
      </c>
    </row>
    <row r="159" spans="2:33" ht="12.75">
      <c r="B159" s="73" t="s">
        <v>25</v>
      </c>
      <c r="C159" s="75">
        <f t="shared" si="35"/>
        <v>0.0876082339487012</v>
      </c>
      <c r="D159" s="75">
        <f aca="true" t="shared" si="62" ref="D159:AG159">D92/D$108</f>
        <v>0.08713745806615993</v>
      </c>
      <c r="E159" s="75">
        <f t="shared" si="62"/>
        <v>0.08643573972159276</v>
      </c>
      <c r="F159" s="75">
        <f t="shared" si="62"/>
        <v>0.0846916345236614</v>
      </c>
      <c r="G159" s="75">
        <f t="shared" si="62"/>
        <v>0.08192940624633546</v>
      </c>
      <c r="H159" s="75">
        <f t="shared" si="62"/>
        <v>0.08072775234696253</v>
      </c>
      <c r="I159" s="75">
        <f t="shared" si="62"/>
        <v>0.08011869436201781</v>
      </c>
      <c r="J159" s="75">
        <f t="shared" si="62"/>
        <v>0.07897128316975645</v>
      </c>
      <c r="K159" s="75">
        <f t="shared" si="62"/>
        <v>0.07843203230148048</v>
      </c>
      <c r="L159" s="75">
        <f t="shared" si="62"/>
        <v>0.07738767875930327</v>
      </c>
      <c r="M159" s="75">
        <f t="shared" si="62"/>
        <v>0.07759791506074955</v>
      </c>
      <c r="N159" s="75">
        <f t="shared" si="62"/>
        <v>0.07765201368781258</v>
      </c>
      <c r="O159" s="75">
        <f t="shared" si="62"/>
        <v>0.07675947409126063</v>
      </c>
      <c r="P159" s="75">
        <f t="shared" si="62"/>
        <v>0.07581782713085235</v>
      </c>
      <c r="Q159" s="75">
        <f t="shared" si="62"/>
        <v>0.07764868284826872</v>
      </c>
      <c r="R159" s="75">
        <f t="shared" si="62"/>
        <v>0.07797532377959997</v>
      </c>
      <c r="S159" s="75">
        <f t="shared" si="62"/>
        <v>0.07616470849857307</v>
      </c>
      <c r="T159" s="75">
        <f t="shared" si="62"/>
        <v>0.07791129876222438</v>
      </c>
      <c r="U159" s="75">
        <f t="shared" si="62"/>
        <v>0.0774725483491014</v>
      </c>
      <c r="V159" s="75">
        <f t="shared" si="62"/>
        <v>0.07424119711519919</v>
      </c>
      <c r="W159" s="75">
        <f t="shared" si="62"/>
        <v>0.07427699563076497</v>
      </c>
      <c r="X159" s="75">
        <f t="shared" si="62"/>
        <v>0.07105521713499706</v>
      </c>
      <c r="Y159" s="75">
        <f t="shared" si="62"/>
        <v>0.06985131502841006</v>
      </c>
      <c r="Z159" s="75">
        <f t="shared" si="62"/>
        <v>0.06748959681085429</v>
      </c>
      <c r="AA159" s="75">
        <f t="shared" si="62"/>
        <v>0.0641925777331996</v>
      </c>
      <c r="AB159" s="75">
        <f t="shared" si="62"/>
        <v>0.06482031222715048</v>
      </c>
      <c r="AC159" s="75">
        <f t="shared" si="62"/>
        <v>0.06306035938027535</v>
      </c>
      <c r="AD159" s="75">
        <f t="shared" si="62"/>
        <v>0.06126790997639706</v>
      </c>
      <c r="AE159" s="75">
        <f t="shared" si="62"/>
        <v>0.05909295950588154</v>
      </c>
      <c r="AF159" s="75">
        <f t="shared" si="62"/>
        <v>0.05710650672482734</v>
      </c>
      <c r="AG159" s="75">
        <f t="shared" si="62"/>
        <v>0.05493600304143961</v>
      </c>
    </row>
    <row r="160" spans="2:33" ht="12.75">
      <c r="B160" s="73" t="s">
        <v>26</v>
      </c>
      <c r="C160" s="75">
        <f t="shared" si="35"/>
        <v>0.022177748733867016</v>
      </c>
      <c r="D160" s="75">
        <f aca="true" t="shared" si="63" ref="D160:AG160">D93/D$108</f>
        <v>0.022463798887426216</v>
      </c>
      <c r="E160" s="75">
        <f t="shared" si="63"/>
        <v>0.021770799611524765</v>
      </c>
      <c r="F160" s="75">
        <f t="shared" si="63"/>
        <v>0.022313466882335865</v>
      </c>
      <c r="G160" s="75">
        <f t="shared" si="63"/>
        <v>0.021381386076691555</v>
      </c>
      <c r="H160" s="75">
        <f t="shared" si="63"/>
        <v>0.02114205912018</v>
      </c>
      <c r="I160" s="75">
        <f t="shared" si="63"/>
        <v>0.019958538270802</v>
      </c>
      <c r="J160" s="75">
        <f t="shared" si="63"/>
        <v>0.020719738276990186</v>
      </c>
      <c r="K160" s="75">
        <f t="shared" si="63"/>
        <v>0.019717362045760432</v>
      </c>
      <c r="L160" s="75">
        <f t="shared" si="63"/>
        <v>0.020067801893777035</v>
      </c>
      <c r="M160" s="75">
        <f t="shared" si="63"/>
        <v>0.01930771207282605</v>
      </c>
      <c r="N160" s="75">
        <f t="shared" si="63"/>
        <v>0.018877148121686158</v>
      </c>
      <c r="O160" s="75">
        <f t="shared" si="63"/>
        <v>0.01860015467904099</v>
      </c>
      <c r="P160" s="75">
        <f t="shared" si="63"/>
        <v>0.018607442977190875</v>
      </c>
      <c r="Q160" s="75">
        <f t="shared" si="63"/>
        <v>0.019057479197822004</v>
      </c>
      <c r="R160" s="75">
        <f t="shared" si="63"/>
        <v>0.01992489845965208</v>
      </c>
      <c r="S160" s="75">
        <f t="shared" si="63"/>
        <v>0.01760498128312516</v>
      </c>
      <c r="T160" s="75">
        <f t="shared" si="63"/>
        <v>0.018837284832737902</v>
      </c>
      <c r="U160" s="75">
        <f t="shared" si="63"/>
        <v>0.018009802804057905</v>
      </c>
      <c r="V160" s="75">
        <f t="shared" si="63"/>
        <v>0.01808785529715762</v>
      </c>
      <c r="W160" s="75">
        <f t="shared" si="63"/>
        <v>0.017719675428254388</v>
      </c>
      <c r="X160" s="75">
        <f t="shared" si="63"/>
        <v>0.01642758891727255</v>
      </c>
      <c r="Y160" s="75">
        <f t="shared" si="63"/>
        <v>0.016569698206934096</v>
      </c>
      <c r="Z160" s="75">
        <f t="shared" si="63"/>
        <v>0.015386229324754344</v>
      </c>
      <c r="AA160" s="75">
        <f t="shared" si="63"/>
        <v>0.01675396560050522</v>
      </c>
      <c r="AB160" s="75">
        <f t="shared" si="63"/>
        <v>0.01630985226836168</v>
      </c>
      <c r="AC160" s="75">
        <f t="shared" si="63"/>
        <v>0.015643170649360393</v>
      </c>
      <c r="AD160" s="75">
        <f t="shared" si="63"/>
        <v>0.015292044812340016</v>
      </c>
      <c r="AE160" s="75">
        <f t="shared" si="63"/>
        <v>0.015094208681772442</v>
      </c>
      <c r="AF160" s="75">
        <f t="shared" si="63"/>
        <v>0.013776808433296983</v>
      </c>
      <c r="AG160" s="75">
        <f t="shared" si="63"/>
        <v>0.014700291471296414</v>
      </c>
    </row>
    <row r="161" spans="2:33" ht="12.75">
      <c r="B161" s="73" t="s">
        <v>71</v>
      </c>
      <c r="C161" s="75">
        <f t="shared" si="35"/>
        <v>0</v>
      </c>
      <c r="D161" s="75">
        <f aca="true" t="shared" si="64" ref="D161:AG161">D94/D$108</f>
        <v>0</v>
      </c>
      <c r="E161" s="75">
        <f t="shared" si="64"/>
        <v>0</v>
      </c>
      <c r="F161" s="75">
        <f t="shared" si="64"/>
        <v>0</v>
      </c>
      <c r="G161" s="75">
        <f t="shared" si="64"/>
        <v>0</v>
      </c>
      <c r="H161" s="75">
        <f t="shared" si="64"/>
        <v>0</v>
      </c>
      <c r="I161" s="75">
        <f t="shared" si="64"/>
        <v>0</v>
      </c>
      <c r="J161" s="75">
        <f t="shared" si="64"/>
        <v>0</v>
      </c>
      <c r="K161" s="75">
        <f t="shared" si="64"/>
        <v>0</v>
      </c>
      <c r="L161" s="75">
        <f t="shared" si="64"/>
        <v>0</v>
      </c>
      <c r="M161" s="75">
        <f t="shared" si="64"/>
        <v>0</v>
      </c>
      <c r="N161" s="75">
        <f t="shared" si="64"/>
        <v>0</v>
      </c>
      <c r="O161" s="75">
        <f t="shared" si="64"/>
        <v>0</v>
      </c>
      <c r="P161" s="75">
        <f t="shared" si="64"/>
        <v>0</v>
      </c>
      <c r="Q161" s="75">
        <f t="shared" si="64"/>
        <v>0</v>
      </c>
      <c r="R161" s="75">
        <f t="shared" si="64"/>
        <v>0</v>
      </c>
      <c r="S161" s="75">
        <f t="shared" si="64"/>
        <v>0</v>
      </c>
      <c r="T161" s="75">
        <f t="shared" si="64"/>
        <v>0</v>
      </c>
      <c r="U161" s="75">
        <f t="shared" si="64"/>
        <v>0</v>
      </c>
      <c r="V161" s="75">
        <f t="shared" si="64"/>
        <v>0</v>
      </c>
      <c r="W161" s="75">
        <f t="shared" si="64"/>
        <v>0</v>
      </c>
      <c r="X161" s="75">
        <f t="shared" si="64"/>
        <v>0</v>
      </c>
      <c r="Y161" s="75">
        <f t="shared" si="64"/>
        <v>0</v>
      </c>
      <c r="Z161" s="75">
        <f t="shared" si="64"/>
        <v>0</v>
      </c>
      <c r="AA161" s="75">
        <f t="shared" si="64"/>
        <v>0</v>
      </c>
      <c r="AB161" s="75">
        <f t="shared" si="64"/>
        <v>0</v>
      </c>
      <c r="AC161" s="75">
        <f t="shared" si="64"/>
        <v>0</v>
      </c>
      <c r="AD161" s="75">
        <f t="shared" si="64"/>
        <v>0</v>
      </c>
      <c r="AE161" s="75">
        <f t="shared" si="64"/>
        <v>0</v>
      </c>
      <c r="AF161" s="75">
        <f t="shared" si="64"/>
        <v>0</v>
      </c>
      <c r="AG161" s="75">
        <f t="shared" si="64"/>
        <v>0.00047522493980484094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</dc:creator>
  <cp:keywords/>
  <dc:description/>
  <cp:lastModifiedBy>François PESTY</cp:lastModifiedBy>
  <cp:lastPrinted>2007-02-24T15:55:41Z</cp:lastPrinted>
  <dcterms:created xsi:type="dcterms:W3CDTF">2006-06-24T15:38:30Z</dcterms:created>
  <dcterms:modified xsi:type="dcterms:W3CDTF">2011-04-03T19:47:29Z</dcterms:modified>
  <cp:category/>
  <cp:version/>
  <cp:contentType/>
  <cp:contentStatus/>
</cp:coreProperties>
</file>