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480" yWindow="270" windowWidth="13740" windowHeight="7110" activeTab="0"/>
  </bookViews>
  <sheets>
    <sheet name="Région  LR (%patients)" sheetId="1" r:id="rId1"/>
    <sheet name="Région  LR (nbre patients)" sheetId="2" r:id="rId2"/>
    <sheet name="Graphique par classes" sheetId="3" r:id="rId3"/>
    <sheet name="Région  LR Inf cutanées (%)" sheetId="4" r:id="rId4"/>
    <sheet name="tableau entrée 1" sheetId="5" r:id="rId5"/>
    <sheet name="tableau entrée 1 (copie)" sheetId="6" r:id="rId6"/>
    <sheet name="Tableau sortie" sheetId="7" r:id="rId7"/>
    <sheet name="Chiffres Inf respi" sheetId="8" r:id="rId8"/>
    <sheet name="Chiffres Inf Cutanées" sheetId="9" r:id="rId9"/>
    <sheet name="Feuil4" sheetId="10" r:id="rId10"/>
    <sheet name="Feuil3" sheetId="11" r:id="rId11"/>
  </sheets>
  <definedNames/>
  <calcPr fullCalcOnLoad="1"/>
</workbook>
</file>

<file path=xl/sharedStrings.xml><?xml version="1.0" encoding="utf-8"?>
<sst xmlns="http://schemas.openxmlformats.org/spreadsheetml/2006/main" count="541" uniqueCount="116">
  <si>
    <t>Médicament / Nom de Marque</t>
  </si>
  <si>
    <t>CPAM Région Languedoc Roussillon</t>
  </si>
  <si>
    <t>oct-4</t>
  </si>
  <si>
    <t>nov-4</t>
  </si>
  <si>
    <t>déc-4</t>
  </si>
  <si>
    <t>janv-5</t>
  </si>
  <si>
    <t>fév-5</t>
  </si>
  <si>
    <t>mars-5</t>
  </si>
  <si>
    <t>avr-5</t>
  </si>
  <si>
    <t>mai-5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</si>
  <si>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</si>
  <si>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</si>
  <si>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</si>
  <si>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</si>
  <si>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</si>
  <si>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</si>
  <si>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</si>
  <si>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</si>
  <si>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fév-6</t>
  </si>
  <si>
    <t>mars-6</t>
  </si>
  <si>
    <t>avr-6</t>
  </si>
  <si>
    <t>mai-6</t>
  </si>
  <si>
    <t>juin-6</t>
  </si>
  <si>
    <t>juil-6</t>
  </si>
  <si>
    <t>août-6</t>
  </si>
  <si>
    <t>sept-6</t>
  </si>
  <si>
    <t>CLAMOXYL + Gé</t>
  </si>
  <si>
    <t>AUGMENTIN + Gé</t>
  </si>
  <si>
    <t>BRISTOPEN</t>
  </si>
  <si>
    <t>ORBENINE</t>
  </si>
  <si>
    <t>ORACEFAL + Gé</t>
  </si>
  <si>
    <t>CEFAPEROS + Gé</t>
  </si>
  <si>
    <t>ALFATIL + Gé</t>
  </si>
  <si>
    <t>ZINNAT + Gé</t>
  </si>
  <si>
    <t>OROKEN</t>
  </si>
  <si>
    <t>ORELOX</t>
  </si>
  <si>
    <t>TEXODIL / TAKETIAM</t>
  </si>
  <si>
    <t>ROCEPHINE + Gé</t>
  </si>
  <si>
    <t>RULID / CLARAMID + Gé</t>
  </si>
  <si>
    <t>JOSACINE + Gé</t>
  </si>
  <si>
    <t>NAXY / ZECLAR / MONONAXY / MONOZECLAR</t>
  </si>
  <si>
    <t>ZITHROMAX</t>
  </si>
  <si>
    <t>KETEK</t>
  </si>
  <si>
    <t>OFLOCET + Gé</t>
  </si>
  <si>
    <t>TAVANIC</t>
  </si>
  <si>
    <t>IZILOX</t>
  </si>
  <si>
    <t>PYOSTACINE</t>
  </si>
  <si>
    <t>FUCIDINE</t>
  </si>
  <si>
    <t>Ordre</t>
  </si>
  <si>
    <t>Antibiotiques</t>
  </si>
  <si>
    <t>CPAM</t>
  </si>
  <si>
    <t>oct-04</t>
  </si>
  <si>
    <t>nov-04</t>
  </si>
  <si>
    <t>déc-04</t>
  </si>
  <si>
    <t>jan-05</t>
  </si>
  <si>
    <t>fév-05</t>
  </si>
  <si>
    <t>mar-05</t>
  </si>
  <si>
    <t>avr-05</t>
  </si>
  <si>
    <t>mai-05</t>
  </si>
  <si>
    <t>jun-05</t>
  </si>
  <si>
    <t>jui-05</t>
  </si>
  <si>
    <t>aoû-05</t>
  </si>
  <si>
    <t>sep-05</t>
  </si>
  <si>
    <t>oct-05</t>
  </si>
  <si>
    <t>Total Panier - 22 ATB</t>
  </si>
  <si>
    <t>ATB de 1ère intention</t>
  </si>
  <si>
    <t>ATB de 2ème intention</t>
  </si>
  <si>
    <t>%</t>
  </si>
  <si>
    <t>Nombres de patients</t>
  </si>
  <si>
    <t>Total sélection des 19 Antibiotiques</t>
  </si>
  <si>
    <t>C1G</t>
  </si>
  <si>
    <t>C2-C3G</t>
  </si>
  <si>
    <t>Bêta-lactamines</t>
  </si>
  <si>
    <t>Macrolides et apparentés</t>
  </si>
  <si>
    <t>Fluoroquinolones</t>
  </si>
  <si>
    <t>ATB 1ère intention</t>
  </si>
  <si>
    <t>ATB 2ème intention</t>
  </si>
  <si>
    <t>TOTAL</t>
  </si>
  <si>
    <t>(%)</t>
  </si>
  <si>
    <t>Coller ici le résultat de la requête "Req"</t>
  </si>
  <si>
    <t>10/04</t>
  </si>
  <si>
    <t>11/04</t>
  </si>
  <si>
    <t>12/04</t>
  </si>
  <si>
    <t>01/05</t>
  </si>
  <si>
    <t>02/05</t>
  </si>
  <si>
    <t>03/05</t>
  </si>
  <si>
    <t>04/05</t>
  </si>
  <si>
    <t>05/05</t>
  </si>
  <si>
    <t>06/05</t>
  </si>
  <si>
    <t>07/05</t>
  </si>
  <si>
    <t>08/05</t>
  </si>
  <si>
    <t>09/05</t>
  </si>
  <si>
    <t>10/05</t>
  </si>
  <si>
    <t>11/05</t>
  </si>
  <si>
    <t>12/05</t>
  </si>
  <si>
    <t>01/06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</si>
  <si>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</si>
  <si>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</si>
  <si>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</si>
  <si>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</si>
  <si>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</si>
  <si>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</si>
  <si>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</si>
  <si>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</si>
  <si>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</si>
  <si>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</si>
  <si>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12/06</t>
  </si>
  <si>
    <t>01/07</t>
  </si>
  <si>
    <t>02/07</t>
  </si>
  <si>
    <t>03/07</t>
  </si>
  <si>
    <t>04/07</t>
  </si>
  <si>
    <t>Montpellier</t>
  </si>
  <si>
    <t xml:space="preserve">  LR</t>
  </si>
  <si>
    <t>Région  LR</t>
  </si>
  <si>
    <t>05/07</t>
  </si>
  <si>
    <t>06/07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</si>
</sst>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\ ##,000&quot; €&quot;;\-#\ ##,000&quot; €&quot;"/>
    <numFmt numFmtId="171" formatCode="#,##0\ &quot;€&quot;"/>
    <numFmt numFmtId="172" formatCode="[$-40C]dddd\ d\ mmmm\ yyyy"/>
    <numFmt numFmtId="173" formatCode="0.0"/>
  </numFmts>
  <fonts count="1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2.25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0"/>
    </font>
    <font>
      <b/>
      <sz val="19.75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22" applyFont="1" applyFill="1" applyBorder="1" applyAlignment="1">
      <alignment horizontal="center" wrapText="1"/>
      <protection/>
    </xf>
    <xf numFmtId="0" fontId="1" fillId="3" borderId="1" xfId="22" applyFont="1" applyFill="1" applyBorder="1" applyAlignment="1">
      <alignment horizontal="center"/>
      <protection/>
    </xf>
    <xf numFmtId="0" fontId="1" fillId="3" borderId="1" xfId="22" applyFont="1" applyFill="1" applyBorder="1" applyAlignment="1">
      <alignment horizontal="center" wrapText="1"/>
      <protection/>
    </xf>
    <xf numFmtId="17" fontId="1" fillId="3" borderId="1" xfId="22" applyNumberFormat="1" applyFont="1" applyFill="1" applyBorder="1" applyAlignment="1">
      <alignment horizontal="center"/>
      <protection/>
    </xf>
    <xf numFmtId="0" fontId="1" fillId="4" borderId="2" xfId="22" applyFont="1" applyFill="1" applyBorder="1" applyAlignment="1">
      <alignment horizontal="right" wrapText="1"/>
      <protection/>
    </xf>
    <xf numFmtId="0" fontId="1" fillId="4" borderId="2" xfId="22" applyFont="1" applyFill="1" applyBorder="1" applyAlignment="1">
      <alignment wrapText="1"/>
      <protection/>
    </xf>
    <xf numFmtId="0" fontId="1" fillId="0" borderId="2" xfId="23" applyFont="1" applyFill="1" applyBorder="1" applyAlignment="1">
      <alignment wrapText="1"/>
      <protection/>
    </xf>
    <xf numFmtId="0" fontId="1" fillId="0" borderId="2" xfId="22" applyFont="1" applyFill="1" applyBorder="1" applyAlignment="1">
      <alignment wrapText="1"/>
      <protection/>
    </xf>
    <xf numFmtId="4" fontId="1" fillId="0" borderId="2" xfId="22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  <xf numFmtId="0" fontId="2" fillId="5" borderId="1" xfId="21" applyFont="1" applyFill="1" applyBorder="1" applyAlignment="1">
      <alignment horizontal="center"/>
      <protection/>
    </xf>
    <xf numFmtId="0" fontId="1" fillId="3" borderId="3" xfId="19" applyFont="1" applyFill="1" applyBorder="1" applyAlignment="1">
      <alignment horizontal="center"/>
      <protection/>
    </xf>
    <xf numFmtId="17" fontId="1" fillId="3" borderId="3" xfId="19" applyNumberFormat="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5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2" fillId="5" borderId="3" xfId="21" applyFont="1" applyFill="1" applyBorder="1" applyAlignment="1">
      <alignment horizontal="center"/>
      <protection/>
    </xf>
    <xf numFmtId="0" fontId="1" fillId="6" borderId="3" xfId="25" applyFont="1" applyFill="1" applyBorder="1" applyAlignment="1">
      <alignment wrapText="1"/>
      <protection/>
    </xf>
    <xf numFmtId="3" fontId="0" fillId="7" borderId="3" xfId="0" applyNumberFormat="1" applyFill="1" applyBorder="1" applyAlignment="1">
      <alignment/>
    </xf>
    <xf numFmtId="0" fontId="1" fillId="6" borderId="4" xfId="25" applyFont="1" applyFill="1" applyBorder="1" applyAlignment="1">
      <alignment wrapText="1"/>
      <protection/>
    </xf>
    <xf numFmtId="3" fontId="0" fillId="7" borderId="4" xfId="0" applyNumberFormat="1" applyFill="1" applyBorder="1" applyAlignment="1">
      <alignment/>
    </xf>
    <xf numFmtId="0" fontId="3" fillId="6" borderId="5" xfId="25" applyFont="1" applyFill="1" applyBorder="1" applyAlignment="1">
      <alignment wrapText="1"/>
      <protection/>
    </xf>
    <xf numFmtId="3" fontId="0" fillId="7" borderId="5" xfId="0" applyNumberFormat="1" applyFill="1" applyBorder="1" applyAlignment="1">
      <alignment/>
    </xf>
    <xf numFmtId="3" fontId="4" fillId="7" borderId="5" xfId="0" applyNumberFormat="1" applyFont="1" applyFill="1" applyBorder="1" applyAlignment="1">
      <alignment/>
    </xf>
    <xf numFmtId="0" fontId="3" fillId="6" borderId="3" xfId="25" applyFont="1" applyFill="1" applyBorder="1" applyAlignment="1">
      <alignment wrapText="1"/>
      <protection/>
    </xf>
    <xf numFmtId="3" fontId="4" fillId="7" borderId="3" xfId="0" applyNumberFormat="1" applyFont="1" applyFill="1" applyBorder="1" applyAlignment="1">
      <alignment/>
    </xf>
    <xf numFmtId="164" fontId="0" fillId="7" borderId="3" xfId="0" applyNumberFormat="1" applyFill="1" applyBorder="1" applyAlignment="1">
      <alignment/>
    </xf>
    <xf numFmtId="164" fontId="0" fillId="7" borderId="4" xfId="0" applyNumberFormat="1" applyFill="1" applyBorder="1" applyAlignment="1">
      <alignment/>
    </xf>
    <xf numFmtId="164" fontId="0" fillId="7" borderId="5" xfId="0" applyNumberFormat="1" applyFill="1" applyBorder="1" applyAlignment="1">
      <alignment/>
    </xf>
    <xf numFmtId="0" fontId="5" fillId="0" borderId="0" xfId="0" applyFont="1" applyAlignment="1">
      <alignment/>
    </xf>
    <xf numFmtId="0" fontId="1" fillId="0" borderId="0" xfId="21" applyFont="1" applyFill="1" applyBorder="1" applyAlignment="1">
      <alignment wrapText="1"/>
      <protection/>
    </xf>
    <xf numFmtId="0" fontId="2" fillId="3" borderId="3" xfId="19" applyFont="1" applyFill="1" applyBorder="1" applyAlignment="1">
      <alignment horizontal="center"/>
      <protection/>
    </xf>
    <xf numFmtId="0" fontId="1" fillId="4" borderId="3" xfId="19" applyFont="1" applyFill="1" applyBorder="1" applyAlignment="1">
      <alignment wrapText="1"/>
      <protection/>
    </xf>
    <xf numFmtId="3" fontId="1" fillId="4" borderId="3" xfId="19" applyNumberFormat="1" applyFont="1" applyFill="1" applyBorder="1" applyAlignment="1">
      <alignment horizontal="right" wrapText="1"/>
      <protection/>
    </xf>
    <xf numFmtId="0" fontId="0" fillId="8" borderId="3" xfId="0" applyFill="1" applyBorder="1" applyAlignment="1">
      <alignment/>
    </xf>
    <xf numFmtId="10" fontId="1" fillId="4" borderId="3" xfId="19" applyNumberFormat="1" applyFont="1" applyFill="1" applyBorder="1" applyAlignment="1">
      <alignment horizontal="right" wrapText="1"/>
      <protection/>
    </xf>
    <xf numFmtId="0" fontId="1" fillId="0" borderId="6" xfId="19" applyFont="1" applyFill="1" applyBorder="1" applyAlignment="1">
      <alignment wrapText="1"/>
      <protection/>
    </xf>
    <xf numFmtId="0" fontId="1" fillId="0" borderId="6" xfId="19" applyFill="1" applyBorder="1">
      <alignment/>
      <protection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1" fillId="9" borderId="5" xfId="19" applyFont="1" applyFill="1" applyBorder="1" applyAlignment="1">
      <alignment wrapText="1"/>
      <protection/>
    </xf>
    <xf numFmtId="3" fontId="1" fillId="9" borderId="5" xfId="19" applyNumberFormat="1" applyFill="1" applyBorder="1">
      <alignment/>
      <protection/>
    </xf>
    <xf numFmtId="10" fontId="1" fillId="8" borderId="3" xfId="19" applyNumberFormat="1" applyFont="1" applyFill="1" applyBorder="1">
      <alignment/>
      <protection/>
    </xf>
    <xf numFmtId="10" fontId="1" fillId="8" borderId="3" xfId="19" applyNumberFormat="1" applyFill="1" applyBorder="1">
      <alignment/>
      <protection/>
    </xf>
    <xf numFmtId="3" fontId="1" fillId="0" borderId="3" xfId="20" applyNumberFormat="1" applyFont="1" applyFill="1" applyBorder="1" applyAlignment="1">
      <alignment horizontal="right" wrapText="1"/>
      <protection/>
    </xf>
    <xf numFmtId="0" fontId="1" fillId="5" borderId="3" xfId="20" applyFont="1" applyFill="1" applyBorder="1" applyAlignment="1">
      <alignment horizontal="center"/>
      <protection/>
    </xf>
    <xf numFmtId="0" fontId="1" fillId="10" borderId="3" xfId="20" applyFont="1" applyFill="1" applyBorder="1" applyAlignment="1">
      <alignment wrapText="1"/>
      <protection/>
    </xf>
    <xf numFmtId="3" fontId="1" fillId="10" borderId="3" xfId="20" applyNumberFormat="1" applyFont="1" applyFill="1" applyBorder="1" applyAlignment="1">
      <alignment horizontal="right" wrapText="1"/>
      <protection/>
    </xf>
    <xf numFmtId="0" fontId="1" fillId="11" borderId="3" xfId="20" applyFont="1" applyFill="1" applyBorder="1" applyAlignment="1">
      <alignment wrapText="1"/>
      <protection/>
    </xf>
    <xf numFmtId="3" fontId="1" fillId="11" borderId="3" xfId="20" applyNumberFormat="1" applyFont="1" applyFill="1" applyBorder="1" applyAlignment="1">
      <alignment horizontal="right" wrapText="1"/>
      <protection/>
    </xf>
    <xf numFmtId="0" fontId="1" fillId="12" borderId="3" xfId="20" applyFont="1" applyFill="1" applyBorder="1" applyAlignment="1">
      <alignment wrapText="1"/>
      <protection/>
    </xf>
    <xf numFmtId="3" fontId="1" fillId="12" borderId="3" xfId="20" applyNumberFormat="1" applyFont="1" applyFill="1" applyBorder="1" applyAlignment="1">
      <alignment horizontal="right" wrapText="1"/>
      <protection/>
    </xf>
    <xf numFmtId="0" fontId="6" fillId="13" borderId="3" xfId="20" applyFont="1" applyFill="1" applyBorder="1" applyAlignment="1">
      <alignment wrapText="1"/>
      <protection/>
    </xf>
    <xf numFmtId="3" fontId="6" fillId="13" borderId="3" xfId="20" applyNumberFormat="1" applyFont="1" applyFill="1" applyBorder="1" applyAlignment="1">
      <alignment horizontal="right" wrapText="1"/>
      <protection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1" fillId="10" borderId="3" xfId="20" applyNumberFormat="1" applyFont="1" applyFill="1" applyBorder="1" applyAlignment="1">
      <alignment horizontal="right" wrapText="1"/>
      <protection/>
    </xf>
    <xf numFmtId="164" fontId="1" fillId="11" borderId="3" xfId="20" applyNumberFormat="1" applyFont="1" applyFill="1" applyBorder="1" applyAlignment="1">
      <alignment horizontal="right" wrapText="1"/>
      <protection/>
    </xf>
    <xf numFmtId="164" fontId="1" fillId="12" borderId="3" xfId="20" applyNumberFormat="1" applyFont="1" applyFill="1" applyBorder="1" applyAlignment="1">
      <alignment horizontal="right" wrapText="1"/>
      <protection/>
    </xf>
    <xf numFmtId="164" fontId="6" fillId="13" borderId="3" xfId="20" applyNumberFormat="1" applyFont="1" applyFill="1" applyBorder="1" applyAlignment="1">
      <alignment horizontal="right" wrapText="1"/>
      <protection/>
    </xf>
    <xf numFmtId="164" fontId="4" fillId="0" borderId="5" xfId="0" applyNumberFormat="1" applyFont="1" applyBorder="1" applyAlignment="1">
      <alignment/>
    </xf>
    <xf numFmtId="17" fontId="1" fillId="3" borderId="7" xfId="22" applyNumberFormat="1" applyFont="1" applyFill="1" applyBorder="1" applyAlignment="1">
      <alignment horizontal="center"/>
      <protection/>
    </xf>
    <xf numFmtId="17" fontId="1" fillId="3" borderId="3" xfId="22" applyNumberFormat="1" applyFont="1" applyFill="1" applyBorder="1" applyAlignment="1">
      <alignment horizontal="center"/>
      <protection/>
    </xf>
    <xf numFmtId="49" fontId="1" fillId="3" borderId="4" xfId="24" applyNumberFormat="1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right" wrapText="1"/>
      <protection/>
    </xf>
    <xf numFmtId="4" fontId="1" fillId="0" borderId="2" xfId="23" applyNumberFormat="1" applyFont="1" applyFill="1" applyBorder="1" applyAlignment="1">
      <alignment horizontal="right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Chiffres" xfId="19"/>
    <cellStyle name="Normal_Chiffres Inf Cutanées" xfId="20"/>
    <cellStyle name="Normal_Feuil2" xfId="21"/>
    <cellStyle name="Normal_tableau entrée" xfId="22"/>
    <cellStyle name="Normal_tableau entrée 1" xfId="23"/>
    <cellStyle name="Normal_tableau entrée 2" xfId="24"/>
    <cellStyle name="Normal_Tableau sorti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Evolution par ATB (%) - Infections respiratoires hautes et basses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25"/>
          <c:w val="0.69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respi'!$A$26</c:f>
              <c:strCache>
                <c:ptCount val="1"/>
                <c:pt idx="0">
                  <c:v>CLAMOXYL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respi'!$B$26:$AH$26</c:f>
              <c:numCache>
                <c:ptCount val="33"/>
                <c:pt idx="0">
                  <c:v>0.15077926785067053</c:v>
                </c:pt>
                <c:pt idx="1">
                  <c:v>0.15366239746726149</c:v>
                </c:pt>
                <c:pt idx="2">
                  <c:v>0.1481532588197415</c:v>
                </c:pt>
                <c:pt idx="3">
                  <c:v>0.14755814669595385</c:v>
                </c:pt>
                <c:pt idx="4">
                  <c:v>0.1515882463504793</c:v>
                </c:pt>
                <c:pt idx="5">
                  <c:v>0.1427277108433735</c:v>
                </c:pt>
                <c:pt idx="6">
                  <c:v>0.1412206152775707</c:v>
                </c:pt>
                <c:pt idx="7">
                  <c:v>0.1498928640997338</c:v>
                </c:pt>
                <c:pt idx="8">
                  <c:v>0.16586605402394877</c:v>
                </c:pt>
                <c:pt idx="9">
                  <c:v>0.1745100777358842</c:v>
                </c:pt>
                <c:pt idx="10">
                  <c:v>0.17130779392338177</c:v>
                </c:pt>
                <c:pt idx="11">
                  <c:v>0.1707325081262107</c:v>
                </c:pt>
                <c:pt idx="12">
                  <c:v>0.16550098231827112</c:v>
                </c:pt>
                <c:pt idx="13">
                  <c:v>0.19055892573178632</c:v>
                </c:pt>
                <c:pt idx="14">
                  <c:v>0.18216616971552904</c:v>
                </c:pt>
                <c:pt idx="15">
                  <c:v>0.1670425927953575</c:v>
                </c:pt>
                <c:pt idx="16">
                  <c:v>0.17289626622084228</c:v>
                </c:pt>
                <c:pt idx="17">
                  <c:v>0.17485522982265653</c:v>
                </c:pt>
                <c:pt idx="18">
                  <c:v>0.18452842735232183</c:v>
                </c:pt>
                <c:pt idx="19">
                  <c:v>0.18241074678225191</c:v>
                </c:pt>
                <c:pt idx="20">
                  <c:v>0.190265187390069</c:v>
                </c:pt>
                <c:pt idx="21">
                  <c:v>0.19061698334710206</c:v>
                </c:pt>
                <c:pt idx="22">
                  <c:v>0.1743278019345106</c:v>
                </c:pt>
                <c:pt idx="23">
                  <c:v>0.19133758831359432</c:v>
                </c:pt>
                <c:pt idx="24">
                  <c:v>0.1792209586076707</c:v>
                </c:pt>
                <c:pt idx="25">
                  <c:v>0.1767180925666199</c:v>
                </c:pt>
                <c:pt idx="26">
                  <c:v>0.17971603360116872</c:v>
                </c:pt>
                <c:pt idx="27">
                  <c:v>0.19913518065655011</c:v>
                </c:pt>
                <c:pt idx="28">
                  <c:v>0.2376001890187383</c:v>
                </c:pt>
                <c:pt idx="29">
                  <c:v>0.2541660011712719</c:v>
                </c:pt>
                <c:pt idx="30">
                  <c:v>0.26105587358976934</c:v>
                </c:pt>
                <c:pt idx="31">
                  <c:v>0.2760456034265558</c:v>
                </c:pt>
                <c:pt idx="32">
                  <c:v>0.2811867604184531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respi'!$A$27</c:f>
              <c:strCache>
                <c:ptCount val="1"/>
                <c:pt idx="0">
                  <c:v>AUGMENTIN + Gé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respi'!$B$27:$AH$27</c:f>
              <c:numCache>
                <c:ptCount val="33"/>
                <c:pt idx="0">
                  <c:v>0.12287060529177238</c:v>
                </c:pt>
                <c:pt idx="1">
                  <c:v>0.12375881421787308</c:v>
                </c:pt>
                <c:pt idx="2">
                  <c:v>0.12280943838829861</c:v>
                </c:pt>
                <c:pt idx="3">
                  <c:v>0.12267772463202842</c:v>
                </c:pt>
                <c:pt idx="4">
                  <c:v>0.11842929640999937</c:v>
                </c:pt>
                <c:pt idx="5">
                  <c:v>0.12967710843373495</c:v>
                </c:pt>
                <c:pt idx="6">
                  <c:v>0.14054967446945976</c:v>
                </c:pt>
                <c:pt idx="7">
                  <c:v>0.14210116226219077</c:v>
                </c:pt>
                <c:pt idx="8">
                  <c:v>0.14710387078808132</c:v>
                </c:pt>
                <c:pt idx="9">
                  <c:v>0.16184890378438765</c:v>
                </c:pt>
                <c:pt idx="10">
                  <c:v>0.16977542932628797</c:v>
                </c:pt>
                <c:pt idx="11">
                  <c:v>0.1408871523787635</c:v>
                </c:pt>
                <c:pt idx="12">
                  <c:v>0.1321545514079895</c:v>
                </c:pt>
                <c:pt idx="13">
                  <c:v>0.14164556216502738</c:v>
                </c:pt>
                <c:pt idx="14">
                  <c:v>0.1428398742847933</c:v>
                </c:pt>
                <c:pt idx="15">
                  <c:v>0.14334829738311616</c:v>
                </c:pt>
                <c:pt idx="16">
                  <c:v>0.14363904147758935</c:v>
                </c:pt>
                <c:pt idx="17">
                  <c:v>0.1414676076728194</c:v>
                </c:pt>
                <c:pt idx="18">
                  <c:v>0.1491743322619971</c:v>
                </c:pt>
                <c:pt idx="19">
                  <c:v>0.15418720841743044</c:v>
                </c:pt>
                <c:pt idx="20">
                  <c:v>0.1515694763902043</c:v>
                </c:pt>
                <c:pt idx="21">
                  <c:v>0.16592025740249577</c:v>
                </c:pt>
                <c:pt idx="22">
                  <c:v>0.17925281746383884</c:v>
                </c:pt>
                <c:pt idx="23">
                  <c:v>0.14747943615823067</c:v>
                </c:pt>
                <c:pt idx="24">
                  <c:v>0.1411436990653345</c:v>
                </c:pt>
                <c:pt idx="25">
                  <c:v>0.1434809071422901</c:v>
                </c:pt>
                <c:pt idx="26">
                  <c:v>0.14408327246165084</c:v>
                </c:pt>
                <c:pt idx="27">
                  <c:v>0.16245323659449043</c:v>
                </c:pt>
                <c:pt idx="28">
                  <c:v>0.17284309627233238</c:v>
                </c:pt>
                <c:pt idx="29">
                  <c:v>0.18093488793057552</c:v>
                </c:pt>
                <c:pt idx="30">
                  <c:v>0.19132268755649293</c:v>
                </c:pt>
                <c:pt idx="31">
                  <c:v>0.19066515495086925</c:v>
                </c:pt>
                <c:pt idx="32">
                  <c:v>0.1799691305093466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respi'!$A$28</c:f>
              <c:strCache>
                <c:ptCount val="1"/>
                <c:pt idx="0">
                  <c:v>ORACEFAL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respi'!$B$28:$AH$28</c:f>
              <c:numCache>
                <c:ptCount val="33"/>
                <c:pt idx="0">
                  <c:v>0.009760265106405012</c:v>
                </c:pt>
                <c:pt idx="1">
                  <c:v>0.010303640811627572</c:v>
                </c:pt>
                <c:pt idx="2">
                  <c:v>0.009429189089738282</c:v>
                </c:pt>
                <c:pt idx="3">
                  <c:v>0.011372734177734897</c:v>
                </c:pt>
                <c:pt idx="4">
                  <c:v>0.010228055886222668</c:v>
                </c:pt>
                <c:pt idx="5">
                  <c:v>0.008693975903614457</c:v>
                </c:pt>
                <c:pt idx="6">
                  <c:v>0.008200387654689131</c:v>
                </c:pt>
                <c:pt idx="7">
                  <c:v>0.0072073241997272905</c:v>
                </c:pt>
                <c:pt idx="8">
                  <c:v>0.007101086048454469</c:v>
                </c:pt>
                <c:pt idx="9">
                  <c:v>0.006051296373877019</c:v>
                </c:pt>
                <c:pt idx="10">
                  <c:v>0.0077146631439894316</c:v>
                </c:pt>
                <c:pt idx="11">
                  <c:v>0.009160455724463999</c:v>
                </c:pt>
                <c:pt idx="12">
                  <c:v>0.008303863785199738</c:v>
                </c:pt>
                <c:pt idx="13">
                  <c:v>0.00839272041934154</c:v>
                </c:pt>
                <c:pt idx="14">
                  <c:v>0.01019421387702474</c:v>
                </c:pt>
                <c:pt idx="15">
                  <c:v>0.008890835431950071</c:v>
                </c:pt>
                <c:pt idx="16">
                  <c:v>0.0109863864342011</c:v>
                </c:pt>
                <c:pt idx="17">
                  <c:v>0.009500542888165039</c:v>
                </c:pt>
                <c:pt idx="18">
                  <c:v>0.007896486756067826</c:v>
                </c:pt>
                <c:pt idx="19">
                  <c:v>0.007709360420871522</c:v>
                </c:pt>
                <c:pt idx="20">
                  <c:v>0.007542957651197402</c:v>
                </c:pt>
                <c:pt idx="21">
                  <c:v>0.008043827992521414</c:v>
                </c:pt>
                <c:pt idx="22">
                  <c:v>0.008696423817552578</c:v>
                </c:pt>
                <c:pt idx="23">
                  <c:v>0.007406396122734565</c:v>
                </c:pt>
                <c:pt idx="24">
                  <c:v>0.008333717021962337</c:v>
                </c:pt>
                <c:pt idx="25">
                  <c:v>0.008388684537828468</c:v>
                </c:pt>
                <c:pt idx="26">
                  <c:v>0.00931336742147553</c:v>
                </c:pt>
                <c:pt idx="27">
                  <c:v>0.009069266523069946</c:v>
                </c:pt>
                <c:pt idx="28">
                  <c:v>0.007815197833554461</c:v>
                </c:pt>
                <c:pt idx="29">
                  <c:v>0.007985944737262418</c:v>
                </c:pt>
                <c:pt idx="30">
                  <c:v>0.005122024706236818</c:v>
                </c:pt>
                <c:pt idx="31">
                  <c:v>0.0061413454270597126</c:v>
                </c:pt>
                <c:pt idx="32">
                  <c:v>0.006311095866918196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respi'!$A$29</c:f>
              <c:strCache>
                <c:ptCount val="1"/>
                <c:pt idx="0">
                  <c:v>CEFAPEROS + Gé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respi'!$B$29:$AH$29</c:f>
              <c:numCache>
                <c:ptCount val="33"/>
                <c:pt idx="0">
                  <c:v>0.012271526950758557</c:v>
                </c:pt>
                <c:pt idx="1">
                  <c:v>0.011972945747589581</c:v>
                </c:pt>
                <c:pt idx="2">
                  <c:v>0.010395106020882203</c:v>
                </c:pt>
                <c:pt idx="3">
                  <c:v>0.012152813417362922</c:v>
                </c:pt>
                <c:pt idx="4">
                  <c:v>0.012201616440072676</c:v>
                </c:pt>
                <c:pt idx="5">
                  <c:v>0.010081927710843373</c:v>
                </c:pt>
                <c:pt idx="6">
                  <c:v>0.01066050395109587</c:v>
                </c:pt>
                <c:pt idx="7">
                  <c:v>0.009090318810466853</c:v>
                </c:pt>
                <c:pt idx="8">
                  <c:v>0.008945976051239209</c:v>
                </c:pt>
                <c:pt idx="9">
                  <c:v>0.008332169622492204</c:v>
                </c:pt>
                <c:pt idx="10">
                  <c:v>0.006869220607661823</c:v>
                </c:pt>
                <c:pt idx="11">
                  <c:v>0.008930623501986408</c:v>
                </c:pt>
                <c:pt idx="12">
                  <c:v>0.01068762278978389</c:v>
                </c:pt>
                <c:pt idx="13">
                  <c:v>0.010100712645032098</c:v>
                </c:pt>
                <c:pt idx="14">
                  <c:v>0.010274800547989363</c:v>
                </c:pt>
                <c:pt idx="15">
                  <c:v>0.008452863243184058</c:v>
                </c:pt>
                <c:pt idx="16">
                  <c:v>0.009553379508000955</c:v>
                </c:pt>
                <c:pt idx="17">
                  <c:v>0.008821932681867536</c:v>
                </c:pt>
                <c:pt idx="18">
                  <c:v>0.008284384351102738</c:v>
                </c:pt>
                <c:pt idx="19">
                  <c:v>0.007345399199285313</c:v>
                </c:pt>
                <c:pt idx="20">
                  <c:v>0.008151806250845623</c:v>
                </c:pt>
                <c:pt idx="21">
                  <c:v>0.006565502847949911</c:v>
                </c:pt>
                <c:pt idx="22">
                  <c:v>0.0046144289644156535</c:v>
                </c:pt>
                <c:pt idx="23">
                  <c:v>0.007235741834192293</c:v>
                </c:pt>
                <c:pt idx="24">
                  <c:v>0.006998480593029145</c:v>
                </c:pt>
                <c:pt idx="25">
                  <c:v>0.00423403635978724</c:v>
                </c:pt>
                <c:pt idx="26">
                  <c:v>0.00404035792549306</c:v>
                </c:pt>
                <c:pt idx="27">
                  <c:v>0.0035305358964808006</c:v>
                </c:pt>
                <c:pt idx="28">
                  <c:v>0.002471783500845132</c:v>
                </c:pt>
                <c:pt idx="29">
                  <c:v>0.0018900069211521056</c:v>
                </c:pt>
                <c:pt idx="30">
                  <c:v>0.0013056141408054635</c:v>
                </c:pt>
                <c:pt idx="31">
                  <c:v>0.0014487276392038298</c:v>
                </c:pt>
                <c:pt idx="32">
                  <c:v>0.0012690790601955068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respi'!$A$30</c:f>
              <c:strCache>
                <c:ptCount val="1"/>
                <c:pt idx="0">
                  <c:v>ZINNAT + Gé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respi'!$B$30:$AH$30</c:f>
              <c:numCache>
                <c:ptCount val="33"/>
                <c:pt idx="0">
                  <c:v>0.07906591415108993</c:v>
                </c:pt>
                <c:pt idx="1">
                  <c:v>0.07172255000719528</c:v>
                </c:pt>
                <c:pt idx="2">
                  <c:v>0.07345568281127823</c:v>
                </c:pt>
                <c:pt idx="3">
                  <c:v>0.07499024900950466</c:v>
                </c:pt>
                <c:pt idx="4">
                  <c:v>0.07908339076498966</c:v>
                </c:pt>
                <c:pt idx="5">
                  <c:v>0.07587469879518072</c:v>
                </c:pt>
                <c:pt idx="6">
                  <c:v>0.0700511902986929</c:v>
                </c:pt>
                <c:pt idx="7">
                  <c:v>0.06710603207583923</c:v>
                </c:pt>
                <c:pt idx="8">
                  <c:v>0.057783347257031464</c:v>
                </c:pt>
                <c:pt idx="9">
                  <c:v>0.04650188521156263</c:v>
                </c:pt>
                <c:pt idx="10">
                  <c:v>0.04956406869220608</c:v>
                </c:pt>
                <c:pt idx="11">
                  <c:v>0.056768558951965066</c:v>
                </c:pt>
                <c:pt idx="12">
                  <c:v>0.0543811394891945</c:v>
                </c:pt>
                <c:pt idx="13">
                  <c:v>0.054979680782142645</c:v>
                </c:pt>
                <c:pt idx="14">
                  <c:v>0.057619469739705054</c:v>
                </c:pt>
                <c:pt idx="15">
                  <c:v>0.06131610642724187</c:v>
                </c:pt>
                <c:pt idx="16">
                  <c:v>0.05419552583393042</c:v>
                </c:pt>
                <c:pt idx="17">
                  <c:v>0.05213988418385813</c:v>
                </c:pt>
                <c:pt idx="18">
                  <c:v>0.047711404189294024</c:v>
                </c:pt>
                <c:pt idx="19">
                  <c:v>0.045627502233398405</c:v>
                </c:pt>
                <c:pt idx="20">
                  <c:v>0.041164930320660265</c:v>
                </c:pt>
                <c:pt idx="21">
                  <c:v>0.03582764468020349</c:v>
                </c:pt>
                <c:pt idx="22">
                  <c:v>0.04121927411482829</c:v>
                </c:pt>
                <c:pt idx="23">
                  <c:v>0.042595310420150856</c:v>
                </c:pt>
                <c:pt idx="24">
                  <c:v>0.043625397117731016</c:v>
                </c:pt>
                <c:pt idx="25">
                  <c:v>0.046071608139934904</c:v>
                </c:pt>
                <c:pt idx="26">
                  <c:v>0.04613312636961286</c:v>
                </c:pt>
                <c:pt idx="27">
                  <c:v>0.047111600563590136</c:v>
                </c:pt>
                <c:pt idx="28">
                  <c:v>0.04209301902909798</c:v>
                </c:pt>
                <c:pt idx="29">
                  <c:v>0.038439014002023104</c:v>
                </c:pt>
                <c:pt idx="30">
                  <c:v>0.040038833651367546</c:v>
                </c:pt>
                <c:pt idx="31">
                  <c:v>0.034013605442176874</c:v>
                </c:pt>
                <c:pt idx="32">
                  <c:v>0.03299605556508318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respi'!$A$31</c:f>
              <c:strCache>
                <c:ptCount val="1"/>
                <c:pt idx="0">
                  <c:v>ALFATIL + Gé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respi'!$B$31:$AH$31</c:f>
              <c:numCache>
                <c:ptCount val="33"/>
                <c:pt idx="0">
                  <c:v>0.031196603324185782</c:v>
                </c:pt>
                <c:pt idx="1">
                  <c:v>0.029846021010217296</c:v>
                </c:pt>
                <c:pt idx="2">
                  <c:v>0.030633365530564373</c:v>
                </c:pt>
                <c:pt idx="3">
                  <c:v>0.028760289861022723</c:v>
                </c:pt>
                <c:pt idx="4">
                  <c:v>0.029462439696760854</c:v>
                </c:pt>
                <c:pt idx="5">
                  <c:v>0.02982168674698795</c:v>
                </c:pt>
                <c:pt idx="6">
                  <c:v>0.031310571045176684</c:v>
                </c:pt>
                <c:pt idx="7">
                  <c:v>0.0285046425556782</c:v>
                </c:pt>
                <c:pt idx="8">
                  <c:v>0.028265107212475632</c:v>
                </c:pt>
                <c:pt idx="9">
                  <c:v>0.026765349345994508</c:v>
                </c:pt>
                <c:pt idx="10">
                  <c:v>0.01854689564068692</c:v>
                </c:pt>
                <c:pt idx="11">
                  <c:v>0.028203697015464425</c:v>
                </c:pt>
                <c:pt idx="12">
                  <c:v>0.03172233136869679</c:v>
                </c:pt>
                <c:pt idx="13">
                  <c:v>0.030508274927852054</c:v>
                </c:pt>
                <c:pt idx="14">
                  <c:v>0.03356434845676525</c:v>
                </c:pt>
                <c:pt idx="15">
                  <c:v>0.02986970327384211</c:v>
                </c:pt>
                <c:pt idx="16">
                  <c:v>0.03407372024520341</c:v>
                </c:pt>
                <c:pt idx="17">
                  <c:v>0.03246018820123055</c:v>
                </c:pt>
                <c:pt idx="18">
                  <c:v>0.03211237947467583</c:v>
                </c:pt>
                <c:pt idx="19">
                  <c:v>0.024683188300301095</c:v>
                </c:pt>
                <c:pt idx="20">
                  <c:v>0.0253686916520092</c:v>
                </c:pt>
                <c:pt idx="21">
                  <c:v>0.021957476412017913</c:v>
                </c:pt>
                <c:pt idx="22">
                  <c:v>0.02023249622859171</c:v>
                </c:pt>
                <c:pt idx="23">
                  <c:v>0.025632274139049116</c:v>
                </c:pt>
                <c:pt idx="24">
                  <c:v>0.029996777015516368</c:v>
                </c:pt>
                <c:pt idx="25">
                  <c:v>0.028262192701579824</c:v>
                </c:pt>
                <c:pt idx="26">
                  <c:v>0.03419466764061359</c:v>
                </c:pt>
                <c:pt idx="27">
                  <c:v>0.02963706738788929</c:v>
                </c:pt>
                <c:pt idx="28">
                  <c:v>0.028952581741516874</c:v>
                </c:pt>
                <c:pt idx="29">
                  <c:v>0.023957834211787255</c:v>
                </c:pt>
                <c:pt idx="30">
                  <c:v>0.020186803253992167</c:v>
                </c:pt>
                <c:pt idx="31">
                  <c:v>0.021541950113378686</c:v>
                </c:pt>
                <c:pt idx="32">
                  <c:v>0.02040816326530612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respi'!$A$32</c:f>
              <c:strCache>
                <c:ptCount val="1"/>
                <c:pt idx="0">
                  <c:v>TEXODIL / TAKETIAM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respi'!$B$32:$AH$32</c:f>
              <c:numCache>
                <c:ptCount val="33"/>
                <c:pt idx="0">
                  <c:v>0.01755294361311034</c:v>
                </c:pt>
                <c:pt idx="1">
                  <c:v>0.01744135846884444</c:v>
                </c:pt>
                <c:pt idx="2">
                  <c:v>0.01842141575824479</c:v>
                </c:pt>
                <c:pt idx="3">
                  <c:v>0.017962350912487428</c:v>
                </c:pt>
                <c:pt idx="4">
                  <c:v>0.01859219347158699</c:v>
                </c:pt>
                <c:pt idx="5">
                  <c:v>0.018236144578313254</c:v>
                </c:pt>
                <c:pt idx="6">
                  <c:v>0.016400775309378262</c:v>
                </c:pt>
                <c:pt idx="7">
                  <c:v>0.015356145704824362</c:v>
                </c:pt>
                <c:pt idx="8">
                  <c:v>0.011974380395433026</c:v>
                </c:pt>
                <c:pt idx="9">
                  <c:v>0.010380300702881349</c:v>
                </c:pt>
                <c:pt idx="10">
                  <c:v>0.013527080581241744</c:v>
                </c:pt>
                <c:pt idx="11">
                  <c:v>0.013034770331943396</c:v>
                </c:pt>
                <c:pt idx="12">
                  <c:v>0.013228552717747217</c:v>
                </c:pt>
                <c:pt idx="13">
                  <c:v>0.012250426998056422</c:v>
                </c:pt>
                <c:pt idx="14">
                  <c:v>0.012390200660810702</c:v>
                </c:pt>
                <c:pt idx="15">
                  <c:v>0.014891054418044454</c:v>
                </c:pt>
                <c:pt idx="16">
                  <c:v>0.013175702571451318</c:v>
                </c:pt>
                <c:pt idx="17">
                  <c:v>0.0125542888165038</c:v>
                </c:pt>
                <c:pt idx="18">
                  <c:v>0.01147068602460379</c:v>
                </c:pt>
                <c:pt idx="19">
                  <c:v>0.012374681533931111</c:v>
                </c:pt>
                <c:pt idx="20">
                  <c:v>0.010113651738601001</c:v>
                </c:pt>
                <c:pt idx="21">
                  <c:v>0.007739466933344928</c:v>
                </c:pt>
                <c:pt idx="22">
                  <c:v>0.010071878605022629</c:v>
                </c:pt>
                <c:pt idx="23">
                  <c:v>0.011775145909416704</c:v>
                </c:pt>
                <c:pt idx="24">
                  <c:v>0.012339426308761914</c:v>
                </c:pt>
                <c:pt idx="25">
                  <c:v>0.013681229987562517</c:v>
                </c:pt>
                <c:pt idx="26">
                  <c:v>0.012121073776479183</c:v>
                </c:pt>
                <c:pt idx="27">
                  <c:v>0.013879216804055258</c:v>
                </c:pt>
                <c:pt idx="28">
                  <c:v>0.012122644081350756</c:v>
                </c:pt>
                <c:pt idx="29">
                  <c:v>0.011499760421657882</c:v>
                </c:pt>
                <c:pt idx="30">
                  <c:v>0.011348799839309028</c:v>
                </c:pt>
                <c:pt idx="31">
                  <c:v>0.009605694129503654</c:v>
                </c:pt>
                <c:pt idx="32">
                  <c:v>0.010118333047504716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'Chiffres Inf respi'!$A$33</c:f>
              <c:strCache>
                <c:ptCount val="1"/>
                <c:pt idx="0">
                  <c:v>ROCEPHINE + Gé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respi'!$B$33:$AH$33</c:f>
              <c:numCache>
                <c:ptCount val="33"/>
                <c:pt idx="0">
                  <c:v>0.02301558535701341</c:v>
                </c:pt>
                <c:pt idx="1">
                  <c:v>0.022593178874658223</c:v>
                </c:pt>
                <c:pt idx="2">
                  <c:v>0.022193091394140104</c:v>
                </c:pt>
                <c:pt idx="3">
                  <c:v>0.026625336152567076</c:v>
                </c:pt>
                <c:pt idx="4">
                  <c:v>0.02722260509993108</c:v>
                </c:pt>
                <c:pt idx="5">
                  <c:v>0.03051566265060241</c:v>
                </c:pt>
                <c:pt idx="6">
                  <c:v>0.023930222155956464</c:v>
                </c:pt>
                <c:pt idx="7">
                  <c:v>0.025550288942276476</c:v>
                </c:pt>
                <c:pt idx="8">
                  <c:v>0.024296853244221664</c:v>
                </c:pt>
                <c:pt idx="9">
                  <c:v>0.023134571521668295</c:v>
                </c:pt>
                <c:pt idx="10">
                  <c:v>0.02546895640686922</c:v>
                </c:pt>
                <c:pt idx="11">
                  <c:v>0.020980398594740126</c:v>
                </c:pt>
                <c:pt idx="12">
                  <c:v>0.022763588736083824</c:v>
                </c:pt>
                <c:pt idx="13">
                  <c:v>0.024589198421579597</c:v>
                </c:pt>
                <c:pt idx="14">
                  <c:v>0.021274881134660327</c:v>
                </c:pt>
                <c:pt idx="15">
                  <c:v>0.02853388809810577</c:v>
                </c:pt>
                <c:pt idx="16">
                  <c:v>0.02249024759175225</c:v>
                </c:pt>
                <c:pt idx="17">
                  <c:v>0.02574194715888527</c:v>
                </c:pt>
                <c:pt idx="18">
                  <c:v>0.02202704200376815</c:v>
                </c:pt>
                <c:pt idx="19">
                  <c:v>0.025245673824570693</c:v>
                </c:pt>
                <c:pt idx="20">
                  <c:v>0.022425923420376134</c:v>
                </c:pt>
                <c:pt idx="21">
                  <c:v>0.022566198530370885</c:v>
                </c:pt>
                <c:pt idx="22">
                  <c:v>0.023604578933356997</c:v>
                </c:pt>
                <c:pt idx="23">
                  <c:v>0.02324311409945732</c:v>
                </c:pt>
                <c:pt idx="24">
                  <c:v>0.021409825498411528</c:v>
                </c:pt>
                <c:pt idx="25">
                  <c:v>0.02323427452433248</c:v>
                </c:pt>
                <c:pt idx="26">
                  <c:v>0.020338750913075236</c:v>
                </c:pt>
                <c:pt idx="27">
                  <c:v>0.026981067906133093</c:v>
                </c:pt>
                <c:pt idx="28">
                  <c:v>0.02442703694952836</c:v>
                </c:pt>
                <c:pt idx="29">
                  <c:v>0.022600223606452644</c:v>
                </c:pt>
                <c:pt idx="30">
                  <c:v>0.023634963677145057</c:v>
                </c:pt>
                <c:pt idx="31">
                  <c:v>0.02245527840765936</c:v>
                </c:pt>
                <c:pt idx="32">
                  <c:v>0.021402846853026927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'Chiffres Inf respi'!$A$34</c:f>
              <c:strCache>
                <c:ptCount val="1"/>
                <c:pt idx="0">
                  <c:v>OROKEN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respi'!$B$34:$AH$34</c:f>
              <c:numCache>
                <c:ptCount val="33"/>
                <c:pt idx="0">
                  <c:v>0.04556516336146637</c:v>
                </c:pt>
                <c:pt idx="1">
                  <c:v>0.04423658080299324</c:v>
                </c:pt>
                <c:pt idx="2">
                  <c:v>0.042247366726461524</c:v>
                </c:pt>
                <c:pt idx="3">
                  <c:v>0.04549093671093959</c:v>
                </c:pt>
                <c:pt idx="4">
                  <c:v>0.04445210199862164</c:v>
                </c:pt>
                <c:pt idx="5">
                  <c:v>0.04368192771084337</c:v>
                </c:pt>
                <c:pt idx="6">
                  <c:v>0.048357437503106206</c:v>
                </c:pt>
                <c:pt idx="7">
                  <c:v>0.04746445036036621</c:v>
                </c:pt>
                <c:pt idx="8">
                  <c:v>0.05026455026455026</c:v>
                </c:pt>
                <c:pt idx="9">
                  <c:v>0.05362379555927943</c:v>
                </c:pt>
                <c:pt idx="10">
                  <c:v>0.05062087186261559</c:v>
                </c:pt>
                <c:pt idx="11">
                  <c:v>0.04573661227304068</c:v>
                </c:pt>
                <c:pt idx="12">
                  <c:v>0.043483955468238376</c:v>
                </c:pt>
                <c:pt idx="13">
                  <c:v>0.04013781730372813</c:v>
                </c:pt>
                <c:pt idx="14">
                  <c:v>0.03892336207591265</c:v>
                </c:pt>
                <c:pt idx="15">
                  <c:v>0.03759991240556225</c:v>
                </c:pt>
                <c:pt idx="16">
                  <c:v>0.04107953188440411</c:v>
                </c:pt>
                <c:pt idx="17">
                  <c:v>0.041033297140788995</c:v>
                </c:pt>
                <c:pt idx="18">
                  <c:v>0.04247478665632273</c:v>
                </c:pt>
                <c:pt idx="19">
                  <c:v>0.04370843397412567</c:v>
                </c:pt>
                <c:pt idx="20">
                  <c:v>0.04573129481802192</c:v>
                </c:pt>
                <c:pt idx="21">
                  <c:v>0.05313274490195226</c:v>
                </c:pt>
                <c:pt idx="22">
                  <c:v>0.05457449640606975</c:v>
                </c:pt>
                <c:pt idx="23">
                  <c:v>0.04761254650329363</c:v>
                </c:pt>
                <c:pt idx="24">
                  <c:v>0.0425203738662001</c:v>
                </c:pt>
                <c:pt idx="25">
                  <c:v>0.04210219905263436</c:v>
                </c:pt>
                <c:pt idx="26">
                  <c:v>0.04327976625273922</c:v>
                </c:pt>
                <c:pt idx="27">
                  <c:v>0.03715160250700439</c:v>
                </c:pt>
                <c:pt idx="28">
                  <c:v>0.03618618345722542</c:v>
                </c:pt>
                <c:pt idx="29">
                  <c:v>0.03782675823883299</c:v>
                </c:pt>
                <c:pt idx="30">
                  <c:v>0.04020622007967594</c:v>
                </c:pt>
                <c:pt idx="31">
                  <c:v>0.041257243638196016</c:v>
                </c:pt>
                <c:pt idx="32">
                  <c:v>0.043971874464071345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'Chiffres Inf respi'!$A$35</c:f>
              <c:strCache>
                <c:ptCount val="1"/>
                <c:pt idx="0">
                  <c:v>ORELOX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respi'!$B$35:$AH$35</c:f>
              <c:numCache>
                <c:ptCount val="33"/>
                <c:pt idx="0">
                  <c:v>0.16639051416144565</c:v>
                </c:pt>
                <c:pt idx="1">
                  <c:v>0.1663836523240754</c:v>
                </c:pt>
                <c:pt idx="2">
                  <c:v>0.17460098431534887</c:v>
                </c:pt>
                <c:pt idx="3">
                  <c:v>0.17586681173403404</c:v>
                </c:pt>
                <c:pt idx="4">
                  <c:v>0.16950692312511748</c:v>
                </c:pt>
                <c:pt idx="5">
                  <c:v>0.17129638554216867</c:v>
                </c:pt>
                <c:pt idx="6">
                  <c:v>0.18679489090999454</c:v>
                </c:pt>
                <c:pt idx="7">
                  <c:v>0.17242386857996234</c:v>
                </c:pt>
                <c:pt idx="8">
                  <c:v>0.18065998329156224</c:v>
                </c:pt>
                <c:pt idx="9">
                  <c:v>0.17455662616952938</c:v>
                </c:pt>
                <c:pt idx="10">
                  <c:v>0.15751651254953764</c:v>
                </c:pt>
                <c:pt idx="11">
                  <c:v>0.16495386938963127</c:v>
                </c:pt>
                <c:pt idx="12">
                  <c:v>0.16220039292730845</c:v>
                </c:pt>
                <c:pt idx="13">
                  <c:v>0.1545144001413511</c:v>
                </c:pt>
                <c:pt idx="14">
                  <c:v>0.16894995567733098</c:v>
                </c:pt>
                <c:pt idx="15">
                  <c:v>0.16588196649512757</c:v>
                </c:pt>
                <c:pt idx="16">
                  <c:v>0.18539527107714354</c:v>
                </c:pt>
                <c:pt idx="17">
                  <c:v>0.1802162504524068</c:v>
                </c:pt>
                <c:pt idx="18">
                  <c:v>0.182339576637482</c:v>
                </c:pt>
                <c:pt idx="19">
                  <c:v>0.17552857095589453</c:v>
                </c:pt>
                <c:pt idx="20">
                  <c:v>0.18052360979569748</c:v>
                </c:pt>
                <c:pt idx="21">
                  <c:v>0.19470411757032915</c:v>
                </c:pt>
                <c:pt idx="22">
                  <c:v>0.1795190345194782</c:v>
                </c:pt>
                <c:pt idx="23">
                  <c:v>0.17150755998498243</c:v>
                </c:pt>
                <c:pt idx="24">
                  <c:v>0.17740227450619273</c:v>
                </c:pt>
                <c:pt idx="25">
                  <c:v>0.18068750165392045</c:v>
                </c:pt>
                <c:pt idx="26">
                  <c:v>0.19290997078159242</c:v>
                </c:pt>
                <c:pt idx="27">
                  <c:v>0.16978962540690237</c:v>
                </c:pt>
                <c:pt idx="28">
                  <c:v>0.16250159030188474</c:v>
                </c:pt>
                <c:pt idx="29">
                  <c:v>0.15947931640313048</c:v>
                </c:pt>
                <c:pt idx="30">
                  <c:v>0.14991128519299654</c:v>
                </c:pt>
                <c:pt idx="31">
                  <c:v>0.15280927185689092</c:v>
                </c:pt>
                <c:pt idx="32">
                  <c:v>0.15311267364088493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'Chiffres Inf respi'!$A$36</c:f>
              <c:strCache>
                <c:ptCount val="1"/>
                <c:pt idx="0">
                  <c:v>RULID / CLARAMID + Gé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respi'!$B$36:$AH$36</c:f>
              <c:numCache>
                <c:ptCount val="33"/>
                <c:pt idx="0">
                  <c:v>0.03029047791642935</c:v>
                </c:pt>
                <c:pt idx="1">
                  <c:v>0.029673334292703985</c:v>
                </c:pt>
                <c:pt idx="2">
                  <c:v>0.030173405087162503</c:v>
                </c:pt>
                <c:pt idx="3">
                  <c:v>0.03235276004352021</c:v>
                </c:pt>
                <c:pt idx="4">
                  <c:v>0.038045861788108516</c:v>
                </c:pt>
                <c:pt idx="5">
                  <c:v>0.03176867469879518</c:v>
                </c:pt>
                <c:pt idx="6">
                  <c:v>0.02790616768550271</c:v>
                </c:pt>
                <c:pt idx="7">
                  <c:v>0.027076163885461982</c:v>
                </c:pt>
                <c:pt idx="8">
                  <c:v>0.02635059871901977</c:v>
                </c:pt>
                <c:pt idx="9">
                  <c:v>0.023181119955313505</c:v>
                </c:pt>
                <c:pt idx="10">
                  <c:v>0.02737120211360634</c:v>
                </c:pt>
                <c:pt idx="11">
                  <c:v>0.025380043996454018</c:v>
                </c:pt>
                <c:pt idx="12">
                  <c:v>0.025383104125736737</c:v>
                </c:pt>
                <c:pt idx="13">
                  <c:v>0.024176924436068083</c:v>
                </c:pt>
                <c:pt idx="14">
                  <c:v>0.025143041340962204</c:v>
                </c:pt>
                <c:pt idx="15">
                  <c:v>0.027132377094054527</c:v>
                </c:pt>
                <c:pt idx="16">
                  <c:v>0.025873736167502586</c:v>
                </c:pt>
                <c:pt idx="17">
                  <c:v>0.02680510314875136</c:v>
                </c:pt>
                <c:pt idx="18">
                  <c:v>0.0252133436772692</c:v>
                </c:pt>
                <c:pt idx="19">
                  <c:v>0.02243324620322271</c:v>
                </c:pt>
                <c:pt idx="20">
                  <c:v>0.020734677310242186</c:v>
                </c:pt>
                <c:pt idx="21">
                  <c:v>0.01821818339927823</c:v>
                </c:pt>
                <c:pt idx="22">
                  <c:v>0.0195669535894933</c:v>
                </c:pt>
                <c:pt idx="23">
                  <c:v>0.023106590668623504</c:v>
                </c:pt>
                <c:pt idx="24">
                  <c:v>0.024333532851420415</c:v>
                </c:pt>
                <c:pt idx="25">
                  <c:v>0.02154065998041758</c:v>
                </c:pt>
                <c:pt idx="26">
                  <c:v>0.021411614317019722</c:v>
                </c:pt>
                <c:pt idx="27">
                  <c:v>0.023725849029102627</c:v>
                </c:pt>
                <c:pt idx="28">
                  <c:v>0.023609167408807547</c:v>
                </c:pt>
                <c:pt idx="29">
                  <c:v>0.01983176276420167</c:v>
                </c:pt>
                <c:pt idx="30">
                  <c:v>0.017876870543336348</c:v>
                </c:pt>
                <c:pt idx="31">
                  <c:v>0.01899092970521542</c:v>
                </c:pt>
                <c:pt idx="32">
                  <c:v>0.01886468873263591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'Chiffres Inf respi'!$A$37</c:f>
              <c:strCache>
                <c:ptCount val="1"/>
                <c:pt idx="0">
                  <c:v>JOSACINE + Gé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respi'!$B$37:$AH$37</c:f>
              <c:numCache>
                <c:ptCount val="33"/>
                <c:pt idx="0">
                  <c:v>0.022135349246621448</c:v>
                </c:pt>
                <c:pt idx="1">
                  <c:v>0.023485393581810333</c:v>
                </c:pt>
                <c:pt idx="2">
                  <c:v>0.022446069638011133</c:v>
                </c:pt>
                <c:pt idx="3">
                  <c:v>0.022396485537741467</c:v>
                </c:pt>
                <c:pt idx="4">
                  <c:v>0.022899567696259632</c:v>
                </c:pt>
                <c:pt idx="5">
                  <c:v>0.020163855421686746</c:v>
                </c:pt>
                <c:pt idx="6">
                  <c:v>0.022638039858853935</c:v>
                </c:pt>
                <c:pt idx="7">
                  <c:v>0.020096097655996365</c:v>
                </c:pt>
                <c:pt idx="8">
                  <c:v>0.023670286828181564</c:v>
                </c:pt>
                <c:pt idx="9">
                  <c:v>0.0243448307964437</c:v>
                </c:pt>
                <c:pt idx="10">
                  <c:v>0.018177014531043593</c:v>
                </c:pt>
                <c:pt idx="11">
                  <c:v>0.019864070656991823</c:v>
                </c:pt>
                <c:pt idx="12">
                  <c:v>0.02328749181401441</c:v>
                </c:pt>
                <c:pt idx="13">
                  <c:v>0.023057895046822544</c:v>
                </c:pt>
                <c:pt idx="14">
                  <c:v>0.025183334676444517</c:v>
                </c:pt>
                <c:pt idx="15">
                  <c:v>0.019205080477389686</c:v>
                </c:pt>
                <c:pt idx="16">
                  <c:v>0.023166945306902317</c:v>
                </c:pt>
                <c:pt idx="17">
                  <c:v>0.022846543612015924</c:v>
                </c:pt>
                <c:pt idx="18">
                  <c:v>0.02305219993350327</c:v>
                </c:pt>
                <c:pt idx="19">
                  <c:v>0.020017867187241505</c:v>
                </c:pt>
                <c:pt idx="20">
                  <c:v>0.01961845487755378</c:v>
                </c:pt>
                <c:pt idx="21">
                  <c:v>0.019826948997782513</c:v>
                </c:pt>
                <c:pt idx="22">
                  <c:v>0.01712663057946579</c:v>
                </c:pt>
                <c:pt idx="23">
                  <c:v>0.01788456943923001</c:v>
                </c:pt>
                <c:pt idx="24">
                  <c:v>0.020258759611400157</c:v>
                </c:pt>
                <c:pt idx="25">
                  <c:v>0.018788536346555876</c:v>
                </c:pt>
                <c:pt idx="26">
                  <c:v>0.02049853907962016</c:v>
                </c:pt>
                <c:pt idx="27">
                  <c:v>0.019223606005150048</c:v>
                </c:pt>
                <c:pt idx="28">
                  <c:v>0.017502408171425454</c:v>
                </c:pt>
                <c:pt idx="29">
                  <c:v>0.01554597242187084</c:v>
                </c:pt>
                <c:pt idx="30">
                  <c:v>0.014395232834521777</c:v>
                </c:pt>
                <c:pt idx="31">
                  <c:v>0.01773116654069035</c:v>
                </c:pt>
                <c:pt idx="32">
                  <c:v>0.017938604013033786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'Chiffres Inf respi'!$A$38</c:f>
              <c:strCache>
                <c:ptCount val="1"/>
                <c:pt idx="0">
                  <c:v>NAXY / ZECLAR / MONONAXY / MONOZECLAR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respi'!$B$38:$AH$38</c:f>
              <c:numCache>
                <c:ptCount val="33"/>
                <c:pt idx="0">
                  <c:v>0.0983016620928908</c:v>
                </c:pt>
                <c:pt idx="1">
                  <c:v>0.0973089653187509</c:v>
                </c:pt>
                <c:pt idx="2">
                  <c:v>0.10454900878524447</c:v>
                </c:pt>
                <c:pt idx="3">
                  <c:v>0.10206720998501427</c:v>
                </c:pt>
                <c:pt idx="4">
                  <c:v>0.11321345780339578</c:v>
                </c:pt>
                <c:pt idx="5">
                  <c:v>0.11009156626506024</c:v>
                </c:pt>
                <c:pt idx="6">
                  <c:v>0.10357338104467968</c:v>
                </c:pt>
                <c:pt idx="7">
                  <c:v>0.10385689240958379</c:v>
                </c:pt>
                <c:pt idx="8">
                  <c:v>0.09697855750487329</c:v>
                </c:pt>
                <c:pt idx="9">
                  <c:v>0.09123492994460737</c:v>
                </c:pt>
                <c:pt idx="10">
                  <c:v>0.0899339498018494</c:v>
                </c:pt>
                <c:pt idx="11">
                  <c:v>0.11682043536789573</c:v>
                </c:pt>
                <c:pt idx="12">
                  <c:v>0.1289063523248199</c:v>
                </c:pt>
                <c:pt idx="13">
                  <c:v>0.11764532657989281</c:v>
                </c:pt>
                <c:pt idx="14">
                  <c:v>0.11826093964058344</c:v>
                </c:pt>
                <c:pt idx="15">
                  <c:v>0.11947881309536844</c:v>
                </c:pt>
                <c:pt idx="16">
                  <c:v>0.1130881299259613</c:v>
                </c:pt>
                <c:pt idx="17">
                  <c:v>0.10803474484256244</c:v>
                </c:pt>
                <c:pt idx="18">
                  <c:v>0.1133215116923418</c:v>
                </c:pt>
                <c:pt idx="19">
                  <c:v>0.11137213380538001</c:v>
                </c:pt>
                <c:pt idx="20">
                  <c:v>0.10658232986064133</c:v>
                </c:pt>
                <c:pt idx="21">
                  <c:v>0.09217792077916431</c:v>
                </c:pt>
                <c:pt idx="22">
                  <c:v>0.09393025113142249</c:v>
                </c:pt>
                <c:pt idx="23">
                  <c:v>0.10730741663538004</c:v>
                </c:pt>
                <c:pt idx="24">
                  <c:v>0.11874395690409319</c:v>
                </c:pt>
                <c:pt idx="25">
                  <c:v>0.11368387626028739</c:v>
                </c:pt>
                <c:pt idx="26">
                  <c:v>0.11132669831994156</c:v>
                </c:pt>
                <c:pt idx="27">
                  <c:v>0.10076602911882358</c:v>
                </c:pt>
                <c:pt idx="28">
                  <c:v>0.0932189527634903</c:v>
                </c:pt>
                <c:pt idx="29">
                  <c:v>0.07911409253047968</c:v>
                </c:pt>
                <c:pt idx="30">
                  <c:v>0.07940812158950153</c:v>
                </c:pt>
                <c:pt idx="31">
                  <c:v>0.07593222474174856</c:v>
                </c:pt>
                <c:pt idx="32">
                  <c:v>0.07587034813925571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'Chiffres Inf respi'!$A$39</c:f>
              <c:strCache>
                <c:ptCount val="1"/>
                <c:pt idx="0">
                  <c:v>ZITHROMAX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respi'!$B$39:$AH$39</c:f>
              <c:numCache>
                <c:ptCount val="33"/>
                <c:pt idx="0">
                  <c:v>0.05444519235747942</c:v>
                </c:pt>
                <c:pt idx="1">
                  <c:v>0.05171967189523673</c:v>
                </c:pt>
                <c:pt idx="2">
                  <c:v>0.051262591417138126</c:v>
                </c:pt>
                <c:pt idx="3">
                  <c:v>0.04906287849239423</c:v>
                </c:pt>
                <c:pt idx="4">
                  <c:v>0.04561117724453355</c:v>
                </c:pt>
                <c:pt idx="5">
                  <c:v>0.04368192771084337</c:v>
                </c:pt>
                <c:pt idx="6">
                  <c:v>0.044207544356642314</c:v>
                </c:pt>
                <c:pt idx="7">
                  <c:v>0.04860074021167456</c:v>
                </c:pt>
                <c:pt idx="8">
                  <c:v>0.05203982177666388</c:v>
                </c:pt>
                <c:pt idx="9">
                  <c:v>0.05325140809011777</c:v>
                </c:pt>
                <c:pt idx="10">
                  <c:v>0.052523117569352705</c:v>
                </c:pt>
                <c:pt idx="11">
                  <c:v>0.050891420691466654</c:v>
                </c:pt>
                <c:pt idx="12">
                  <c:v>0.04576293385723641</c:v>
                </c:pt>
                <c:pt idx="13">
                  <c:v>0.04305318334413098</c:v>
                </c:pt>
                <c:pt idx="14">
                  <c:v>0.03795632202433717</c:v>
                </c:pt>
                <c:pt idx="15">
                  <c:v>0.036483083324208916</c:v>
                </c:pt>
                <c:pt idx="16">
                  <c:v>0.03636255075232864</c:v>
                </c:pt>
                <c:pt idx="17">
                  <c:v>0.038070032573289905</c:v>
                </c:pt>
                <c:pt idx="18">
                  <c:v>0.03970408954893051</c:v>
                </c:pt>
                <c:pt idx="19">
                  <c:v>0.03728948152069616</c:v>
                </c:pt>
                <c:pt idx="20">
                  <c:v>0.03906778514409417</c:v>
                </c:pt>
                <c:pt idx="21">
                  <c:v>0.03856689421279186</c:v>
                </c:pt>
                <c:pt idx="22">
                  <c:v>0.04108616558700861</c:v>
                </c:pt>
                <c:pt idx="23">
                  <c:v>0.04088876753472815</c:v>
                </c:pt>
                <c:pt idx="24">
                  <c:v>0.03734057737464892</c:v>
                </c:pt>
                <c:pt idx="25">
                  <c:v>0.037682923602106434</c:v>
                </c:pt>
                <c:pt idx="26">
                  <c:v>0.035975164353542734</c:v>
                </c:pt>
                <c:pt idx="27">
                  <c:v>0.028503409072505547</c:v>
                </c:pt>
                <c:pt idx="28">
                  <c:v>0.026880645571690807</c:v>
                </c:pt>
                <c:pt idx="29">
                  <c:v>0.027152212106692223</c:v>
                </c:pt>
                <c:pt idx="30">
                  <c:v>0.02473971410398045</c:v>
                </c:pt>
                <c:pt idx="31">
                  <c:v>0.026895943562610228</c:v>
                </c:pt>
                <c:pt idx="32">
                  <c:v>0.029051620648259304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'Chiffres Inf respi'!$A$40</c:f>
              <c:strCache>
                <c:ptCount val="1"/>
                <c:pt idx="0">
                  <c:v>KETEK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respi'!$B$40:$AH$40</c:f>
              <c:numCache>
                <c:ptCount val="33"/>
                <c:pt idx="0">
                  <c:v>0.04724796769015689</c:v>
                </c:pt>
                <c:pt idx="1">
                  <c:v>0.0491005900129515</c:v>
                </c:pt>
                <c:pt idx="2">
                  <c:v>0.04797387424681478</c:v>
                </c:pt>
                <c:pt idx="3">
                  <c:v>0.043130170591012665</c:v>
                </c:pt>
                <c:pt idx="4">
                  <c:v>0.043574963974688304</c:v>
                </c:pt>
                <c:pt idx="5">
                  <c:v>0.0416578313253012</c:v>
                </c:pt>
                <c:pt idx="6">
                  <c:v>0.035783509765916204</c:v>
                </c:pt>
                <c:pt idx="7">
                  <c:v>0.03464060775274333</c:v>
                </c:pt>
                <c:pt idx="8">
                  <c:v>0.029030910609857977</c:v>
                </c:pt>
                <c:pt idx="9">
                  <c:v>0.020993343573988736</c:v>
                </c:pt>
                <c:pt idx="10">
                  <c:v>0.025838837516512548</c:v>
                </c:pt>
                <c:pt idx="11">
                  <c:v>0.03122434908231277</c:v>
                </c:pt>
                <c:pt idx="12">
                  <c:v>0.040130975769482644</c:v>
                </c:pt>
                <c:pt idx="13">
                  <c:v>0.03463101478296719</c:v>
                </c:pt>
                <c:pt idx="14">
                  <c:v>0.03537754855346926</c:v>
                </c:pt>
                <c:pt idx="15">
                  <c:v>0.03775320267163035</c:v>
                </c:pt>
                <c:pt idx="16">
                  <c:v>0.0329591593026033</c:v>
                </c:pt>
                <c:pt idx="17">
                  <c:v>0.035559174809989144</c:v>
                </c:pt>
                <c:pt idx="18">
                  <c:v>0.030145184528427352</c:v>
                </c:pt>
                <c:pt idx="19">
                  <c:v>0.031796975813122456</c:v>
                </c:pt>
                <c:pt idx="20">
                  <c:v>0.036091191990258426</c:v>
                </c:pt>
                <c:pt idx="21">
                  <c:v>0.02656637245097613</c:v>
                </c:pt>
                <c:pt idx="22">
                  <c:v>0.024846925193007366</c:v>
                </c:pt>
                <c:pt idx="23">
                  <c:v>0.031468650807194784</c:v>
                </c:pt>
                <c:pt idx="24">
                  <c:v>0.04164556379207146</c:v>
                </c:pt>
                <c:pt idx="25">
                  <c:v>0.04133477996242293</c:v>
                </c:pt>
                <c:pt idx="26">
                  <c:v>0.03830350620891161</c:v>
                </c:pt>
                <c:pt idx="27">
                  <c:v>0.03569404181579672</c:v>
                </c:pt>
                <c:pt idx="28">
                  <c:v>0.027934788535286526</c:v>
                </c:pt>
                <c:pt idx="29">
                  <c:v>0.02427727200127775</c:v>
                </c:pt>
                <c:pt idx="30">
                  <c:v>0.017475143115396205</c:v>
                </c:pt>
                <c:pt idx="31">
                  <c:v>0.009479717813051146</c:v>
                </c:pt>
                <c:pt idx="32">
                  <c:v>0.009398044932258617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'Chiffres Inf respi'!$A$41</c:f>
              <c:strCache>
                <c:ptCount val="1"/>
                <c:pt idx="0">
                  <c:v>PYOSTACINE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respi'!$B$41:$AH$41</c:f>
              <c:numCache>
                <c:ptCount val="33"/>
                <c:pt idx="0">
                  <c:v>0.04005074302283436</c:v>
                </c:pt>
                <c:pt idx="1">
                  <c:v>0.0413872499640236</c:v>
                </c:pt>
                <c:pt idx="2">
                  <c:v>0.03870567131226715</c:v>
                </c:pt>
                <c:pt idx="3">
                  <c:v>0.036478968653131605</c:v>
                </c:pt>
                <c:pt idx="4">
                  <c:v>0.031013094417643005</c:v>
                </c:pt>
                <c:pt idx="5">
                  <c:v>0.03614457831325301</c:v>
                </c:pt>
                <c:pt idx="6">
                  <c:v>0.03884001789175488</c:v>
                </c:pt>
                <c:pt idx="7">
                  <c:v>0.044802285565872346</c:v>
                </c:pt>
                <c:pt idx="8">
                  <c:v>0.04497354497354497</c:v>
                </c:pt>
                <c:pt idx="9">
                  <c:v>0.05716147651631523</c:v>
                </c:pt>
                <c:pt idx="10">
                  <c:v>0.062457067371202116</c:v>
                </c:pt>
                <c:pt idx="11">
                  <c:v>0.0483304330695735</c:v>
                </c:pt>
                <c:pt idx="12">
                  <c:v>0.04275049115913556</c:v>
                </c:pt>
                <c:pt idx="13">
                  <c:v>0.04119795040932917</c:v>
                </c:pt>
                <c:pt idx="14">
                  <c:v>0.03753324200177291</c:v>
                </c:pt>
                <c:pt idx="15">
                  <c:v>0.04000875944377532</c:v>
                </c:pt>
                <c:pt idx="16">
                  <c:v>0.03560624154127856</c:v>
                </c:pt>
                <c:pt idx="17">
                  <c:v>0.03791169019182049</c:v>
                </c:pt>
                <c:pt idx="18">
                  <c:v>0.035326388119250804</c:v>
                </c:pt>
                <c:pt idx="19">
                  <c:v>0.04648777421169308</c:v>
                </c:pt>
                <c:pt idx="20">
                  <c:v>0.047118116628331756</c:v>
                </c:pt>
                <c:pt idx="21">
                  <c:v>0.05665463715813731</c:v>
                </c:pt>
                <c:pt idx="22">
                  <c:v>0.05910018635193895</c:v>
                </c:pt>
                <c:pt idx="23">
                  <c:v>0.051059763131847506</c:v>
                </c:pt>
                <c:pt idx="24">
                  <c:v>0.04224411805331737</c:v>
                </c:pt>
                <c:pt idx="25">
                  <c:v>0.04368996268755458</c:v>
                </c:pt>
                <c:pt idx="26">
                  <c:v>0.036089298758217675</c:v>
                </c:pt>
                <c:pt idx="27">
                  <c:v>0.036163700260741415</c:v>
                </c:pt>
                <c:pt idx="28">
                  <c:v>0.033968848257937875</c:v>
                </c:pt>
                <c:pt idx="29">
                  <c:v>0.04176649097588245</c:v>
                </c:pt>
                <c:pt idx="30">
                  <c:v>0.04449131264437079</c:v>
                </c:pt>
                <c:pt idx="31">
                  <c:v>0.043808264046359284</c:v>
                </c:pt>
                <c:pt idx="32">
                  <c:v>0.0475390156062425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'Chiffres Inf respi'!$A$42</c:f>
              <c:strCache>
                <c:ptCount val="1"/>
                <c:pt idx="0">
                  <c:v>OFLOCET + Gé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respi'!$B$42:$AH$42</c:f>
              <c:numCache>
                <c:ptCount val="33"/>
                <c:pt idx="0">
                  <c:v>0.013436545332159685</c:v>
                </c:pt>
                <c:pt idx="1">
                  <c:v>0.014189091955677077</c:v>
                </c:pt>
                <c:pt idx="2">
                  <c:v>0.011912975484108367</c:v>
                </c:pt>
                <c:pt idx="3">
                  <c:v>0.010592654938106872</c:v>
                </c:pt>
                <c:pt idx="4">
                  <c:v>0.007393020487438131</c:v>
                </c:pt>
                <c:pt idx="5">
                  <c:v>0.010698795180722892</c:v>
                </c:pt>
                <c:pt idx="6">
                  <c:v>0.012623627056309329</c:v>
                </c:pt>
                <c:pt idx="7">
                  <c:v>0.015583403675086033</c:v>
                </c:pt>
                <c:pt idx="8">
                  <c:v>0.0142369813422445</c:v>
                </c:pt>
                <c:pt idx="9">
                  <c:v>0.019131406228180423</c:v>
                </c:pt>
                <c:pt idx="10">
                  <c:v>0.026155878467635403</c:v>
                </c:pt>
                <c:pt idx="11">
                  <c:v>0.01677775224086417</c:v>
                </c:pt>
                <c:pt idx="12">
                  <c:v>0.014459724950884087</c:v>
                </c:pt>
                <c:pt idx="13">
                  <c:v>0.015843100300371046</c:v>
                </c:pt>
                <c:pt idx="14">
                  <c:v>0.010818760577000564</c:v>
                </c:pt>
                <c:pt idx="15">
                  <c:v>0.013664732289499618</c:v>
                </c:pt>
                <c:pt idx="16">
                  <c:v>0.010130562853276013</c:v>
                </c:pt>
                <c:pt idx="17">
                  <c:v>0.013549583785740138</c:v>
                </c:pt>
                <c:pt idx="18">
                  <c:v>0.012024825446082235</c:v>
                </c:pt>
                <c:pt idx="19">
                  <c:v>0.01799953677662707</c:v>
                </c:pt>
                <c:pt idx="20">
                  <c:v>0.015931538357461777</c:v>
                </c:pt>
                <c:pt idx="21">
                  <c:v>0.01821818339927823</c:v>
                </c:pt>
                <c:pt idx="22">
                  <c:v>0.021785429053154674</c:v>
                </c:pt>
                <c:pt idx="23">
                  <c:v>0.019010887743608998</c:v>
                </c:pt>
                <c:pt idx="24">
                  <c:v>0.013628620102214651</c:v>
                </c:pt>
                <c:pt idx="25">
                  <c:v>0.014580962714017306</c:v>
                </c:pt>
                <c:pt idx="26">
                  <c:v>0.011527574872169467</c:v>
                </c:pt>
                <c:pt idx="27">
                  <c:v>0.011255607559881451</c:v>
                </c:pt>
                <c:pt idx="28">
                  <c:v>0.010068882790207375</c:v>
                </c:pt>
                <c:pt idx="29">
                  <c:v>0.01277751157961987</c:v>
                </c:pt>
                <c:pt idx="30">
                  <c:v>0.014863914833785276</c:v>
                </c:pt>
                <c:pt idx="31">
                  <c:v>0.015936004031242127</c:v>
                </c:pt>
                <c:pt idx="32">
                  <c:v>0.017424112502143714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'Chiffres Inf respi'!$A$43</c:f>
              <c:strCache>
                <c:ptCount val="1"/>
                <c:pt idx="0">
                  <c:v>TAVANIC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respi'!$B$43:$AH$43</c:f>
              <c:numCache>
                <c:ptCount val="33"/>
                <c:pt idx="0">
                  <c:v>0.016103142960700048</c:v>
                </c:pt>
                <c:pt idx="1">
                  <c:v>0.016462800402935674</c:v>
                </c:pt>
                <c:pt idx="2">
                  <c:v>0.016604572006807414</c:v>
                </c:pt>
                <c:pt idx="3">
                  <c:v>0.01880401535524398</c:v>
                </c:pt>
                <c:pt idx="4">
                  <c:v>0.017010212392707225</c:v>
                </c:pt>
                <c:pt idx="5">
                  <c:v>0.020356626506024097</c:v>
                </c:pt>
                <c:pt idx="6">
                  <c:v>0.017146265096168182</c:v>
                </c:pt>
                <c:pt idx="7">
                  <c:v>0.01863515356145705</c:v>
                </c:pt>
                <c:pt idx="8">
                  <c:v>0.014967975494291283</c:v>
                </c:pt>
                <c:pt idx="9">
                  <c:v>0.012195689615044454</c:v>
                </c:pt>
                <c:pt idx="10">
                  <c:v>0.013632760898282695</c:v>
                </c:pt>
                <c:pt idx="11">
                  <c:v>0.015464425255277933</c:v>
                </c:pt>
                <c:pt idx="12">
                  <c:v>0.014538310412573674</c:v>
                </c:pt>
                <c:pt idx="13">
                  <c:v>0.014311796925613993</c:v>
                </c:pt>
                <c:pt idx="14">
                  <c:v>0.014586187444596664</c:v>
                </c:pt>
                <c:pt idx="15">
                  <c:v>0.020190517902113216</c:v>
                </c:pt>
                <c:pt idx="16">
                  <c:v>0.015384921582676538</c:v>
                </c:pt>
                <c:pt idx="17">
                  <c:v>0.018254614549402824</c:v>
                </c:pt>
                <c:pt idx="18">
                  <c:v>0.015682145627839966</c:v>
                </c:pt>
                <c:pt idx="19">
                  <c:v>0.017271614333454654</c:v>
                </c:pt>
                <c:pt idx="20">
                  <c:v>0.01711541063455554</c:v>
                </c:pt>
                <c:pt idx="21">
                  <c:v>0.012304882820992217</c:v>
                </c:pt>
                <c:pt idx="22">
                  <c:v>0.013710178365427279</c:v>
                </c:pt>
                <c:pt idx="23">
                  <c:v>0.01570019454588894</c:v>
                </c:pt>
                <c:pt idx="24">
                  <c:v>0.018647267369584233</c:v>
                </c:pt>
                <c:pt idx="25">
                  <c:v>0.020746778162957474</c:v>
                </c:pt>
                <c:pt idx="26">
                  <c:v>0.018581081081081082</c:v>
                </c:pt>
                <c:pt idx="27">
                  <c:v>0.02319141010899315</c:v>
                </c:pt>
                <c:pt idx="28">
                  <c:v>0.018338452590828957</c:v>
                </c:pt>
                <c:pt idx="29">
                  <c:v>0.020390778895810042</c:v>
                </c:pt>
                <c:pt idx="30">
                  <c:v>0.021325030966489238</c:v>
                </c:pt>
                <c:pt idx="31">
                  <c:v>0.019148400100781053</c:v>
                </c:pt>
                <c:pt idx="32">
                  <c:v>0.0166009260847196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'Chiffres Inf respi'!$A$44</c:f>
              <c:strCache>
                <c:ptCount val="1"/>
                <c:pt idx="0">
                  <c:v>IZILOX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'Chiffres Inf respi'!$B$25:$AH$25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respi'!$B$44:$AH$44</c:f>
              <c:numCache>
                <c:ptCount val="33"/>
                <c:pt idx="0">
                  <c:v>0.019520530212810024</c:v>
                </c:pt>
                <c:pt idx="1">
                  <c:v>0.024751762843574616</c:v>
                </c:pt>
                <c:pt idx="2">
                  <c:v>0.024032933167747572</c:v>
                </c:pt>
                <c:pt idx="3">
                  <c:v>0.021657463100199125</c:v>
                </c:pt>
                <c:pt idx="4">
                  <c:v>0.020471774951444144</c:v>
                </c:pt>
                <c:pt idx="5">
                  <c:v>0.0248289156626506</c:v>
                </c:pt>
                <c:pt idx="6">
                  <c:v>0.019805178669052233</c:v>
                </c:pt>
                <c:pt idx="7">
                  <c:v>0.022011557691059024</c:v>
                </c:pt>
                <c:pt idx="8">
                  <c:v>0.0154901141743247</c:v>
                </c:pt>
                <c:pt idx="9">
                  <c:v>0.012800819252432157</c:v>
                </c:pt>
                <c:pt idx="10">
                  <c:v>0.012998678996036989</c:v>
                </c:pt>
                <c:pt idx="11">
                  <c:v>0.015858423350953804</c:v>
                </c:pt>
                <c:pt idx="12">
                  <c:v>0.020353634577603145</c:v>
                </c:pt>
                <c:pt idx="13">
                  <c:v>0.018405088638906886</c:v>
                </c:pt>
                <c:pt idx="14">
                  <c:v>0.01694334757031187</c:v>
                </c:pt>
                <c:pt idx="15">
                  <c:v>0.02025621373042812</c:v>
                </c:pt>
                <c:pt idx="16">
                  <c:v>0.019942679722951995</c:v>
                </c:pt>
                <c:pt idx="17">
                  <c:v>0.020177343467245746</c:v>
                </c:pt>
                <c:pt idx="18">
                  <c:v>0.01751080571871883</c:v>
                </c:pt>
                <c:pt idx="19">
                  <c:v>0.016510604506501672</c:v>
                </c:pt>
                <c:pt idx="20">
                  <c:v>0.01488296576917873</c:v>
                </c:pt>
                <c:pt idx="21">
                  <c:v>0.010391756163311448</c:v>
                </c:pt>
                <c:pt idx="22">
                  <c:v>0.012734049161416275</c:v>
                </c:pt>
                <c:pt idx="23">
                  <c:v>0.01774804600839619</c:v>
                </c:pt>
                <c:pt idx="24">
                  <c:v>0.020166674340439245</c:v>
                </c:pt>
                <c:pt idx="25">
                  <c:v>0.021090793617190188</c:v>
                </c:pt>
                <c:pt idx="26">
                  <c:v>0.020156135865595327</c:v>
                </c:pt>
                <c:pt idx="27">
                  <c:v>0.022737946782839653</c:v>
                </c:pt>
                <c:pt idx="28">
                  <c:v>0.02146453172425074</c:v>
                </c:pt>
                <c:pt idx="29">
                  <c:v>0.020364159080019165</c:v>
                </c:pt>
                <c:pt idx="30">
                  <c:v>0.02129155368082756</c:v>
                </c:pt>
                <c:pt idx="31">
                  <c:v>0.01609347442680776</c:v>
                </c:pt>
                <c:pt idx="32">
                  <c:v>0.016566626650660263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Nombres de 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between"/>
        <c:dispUnits/>
        <c:majorUnit val="0.1"/>
        <c:minorUnit val="0.05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295"/>
          <c:w val="0.24725"/>
          <c:h val="0.82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Evolution par ATB (nbre) - Infections respiratoires hautes et basses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25"/>
          <c:w val="0.690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respi'!$A$4</c:f>
              <c:strCache>
                <c:ptCount val="1"/>
                <c:pt idx="0">
                  <c:v>CLAMOXYL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respi'!$B$4:$AH$4</c:f>
              <c:numCache>
                <c:ptCount val="33"/>
                <c:pt idx="0">
                  <c:v>5824</c:v>
                </c:pt>
                <c:pt idx="1">
                  <c:v>5339</c:v>
                </c:pt>
                <c:pt idx="2">
                  <c:v>6442</c:v>
                </c:pt>
                <c:pt idx="3">
                  <c:v>7188</c:v>
                </c:pt>
                <c:pt idx="4">
                  <c:v>9678</c:v>
                </c:pt>
                <c:pt idx="5">
                  <c:v>7404</c:v>
                </c:pt>
                <c:pt idx="6">
                  <c:v>5683</c:v>
                </c:pt>
                <c:pt idx="7">
                  <c:v>4617</c:v>
                </c:pt>
                <c:pt idx="8">
                  <c:v>4765</c:v>
                </c:pt>
                <c:pt idx="9">
                  <c:v>3749</c:v>
                </c:pt>
                <c:pt idx="10">
                  <c:v>3242</c:v>
                </c:pt>
                <c:pt idx="11">
                  <c:v>5200</c:v>
                </c:pt>
                <c:pt idx="12">
                  <c:v>6318</c:v>
                </c:pt>
                <c:pt idx="13">
                  <c:v>6471</c:v>
                </c:pt>
                <c:pt idx="14">
                  <c:v>9042</c:v>
                </c:pt>
                <c:pt idx="15">
                  <c:v>7628</c:v>
                </c:pt>
                <c:pt idx="16">
                  <c:v>8687</c:v>
                </c:pt>
                <c:pt idx="17">
                  <c:v>7730</c:v>
                </c:pt>
                <c:pt idx="18">
                  <c:v>6660</c:v>
                </c:pt>
                <c:pt idx="19">
                  <c:v>5513</c:v>
                </c:pt>
                <c:pt idx="20">
                  <c:v>5625</c:v>
                </c:pt>
                <c:pt idx="21">
                  <c:v>4384</c:v>
                </c:pt>
                <c:pt idx="22">
                  <c:v>3929</c:v>
                </c:pt>
                <c:pt idx="23">
                  <c:v>5606</c:v>
                </c:pt>
                <c:pt idx="24">
                  <c:v>7785</c:v>
                </c:pt>
                <c:pt idx="25">
                  <c:v>6678</c:v>
                </c:pt>
                <c:pt idx="26">
                  <c:v>7873</c:v>
                </c:pt>
                <c:pt idx="27">
                  <c:v>12296</c:v>
                </c:pt>
                <c:pt idx="28">
                  <c:v>13073</c:v>
                </c:pt>
                <c:pt idx="29">
                  <c:v>9548</c:v>
                </c:pt>
                <c:pt idx="30">
                  <c:v>7798</c:v>
                </c:pt>
                <c:pt idx="31">
                  <c:v>8765</c:v>
                </c:pt>
                <c:pt idx="32">
                  <c:v>8198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respi'!$A$5</c:f>
              <c:strCache>
                <c:ptCount val="1"/>
                <c:pt idx="0">
                  <c:v>AUGMENTIN + Gé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respi'!$B$5:$AH$5</c:f>
              <c:numCache>
                <c:ptCount val="33"/>
                <c:pt idx="0">
                  <c:v>4746</c:v>
                </c:pt>
                <c:pt idx="1">
                  <c:v>4300</c:v>
                </c:pt>
                <c:pt idx="2">
                  <c:v>5340</c:v>
                </c:pt>
                <c:pt idx="3">
                  <c:v>5976</c:v>
                </c:pt>
                <c:pt idx="4">
                  <c:v>7561</c:v>
                </c:pt>
                <c:pt idx="5">
                  <c:v>6727</c:v>
                </c:pt>
                <c:pt idx="6">
                  <c:v>5656</c:v>
                </c:pt>
                <c:pt idx="7">
                  <c:v>4377</c:v>
                </c:pt>
                <c:pt idx="8">
                  <c:v>4226</c:v>
                </c:pt>
                <c:pt idx="9">
                  <c:v>3477</c:v>
                </c:pt>
                <c:pt idx="10">
                  <c:v>3213</c:v>
                </c:pt>
                <c:pt idx="11">
                  <c:v>4291</c:v>
                </c:pt>
                <c:pt idx="12">
                  <c:v>5045</c:v>
                </c:pt>
                <c:pt idx="13">
                  <c:v>4810</c:v>
                </c:pt>
                <c:pt idx="14">
                  <c:v>7090</c:v>
                </c:pt>
                <c:pt idx="15">
                  <c:v>6546</c:v>
                </c:pt>
                <c:pt idx="16">
                  <c:v>7217</c:v>
                </c:pt>
                <c:pt idx="17">
                  <c:v>6254</c:v>
                </c:pt>
                <c:pt idx="18">
                  <c:v>5384</c:v>
                </c:pt>
                <c:pt idx="19">
                  <c:v>4660</c:v>
                </c:pt>
                <c:pt idx="20">
                  <c:v>4481</c:v>
                </c:pt>
                <c:pt idx="21">
                  <c:v>3816</c:v>
                </c:pt>
                <c:pt idx="22">
                  <c:v>4040</c:v>
                </c:pt>
                <c:pt idx="23">
                  <c:v>4321</c:v>
                </c:pt>
                <c:pt idx="24">
                  <c:v>6131</c:v>
                </c:pt>
                <c:pt idx="25">
                  <c:v>5422</c:v>
                </c:pt>
                <c:pt idx="26">
                  <c:v>6312</c:v>
                </c:pt>
                <c:pt idx="27">
                  <c:v>10031</c:v>
                </c:pt>
                <c:pt idx="28">
                  <c:v>9510</c:v>
                </c:pt>
                <c:pt idx="29">
                  <c:v>6797</c:v>
                </c:pt>
                <c:pt idx="30">
                  <c:v>5715</c:v>
                </c:pt>
                <c:pt idx="31">
                  <c:v>6054</c:v>
                </c:pt>
                <c:pt idx="32">
                  <c:v>5247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respi'!$A$6</c:f>
              <c:strCache>
                <c:ptCount val="1"/>
                <c:pt idx="0">
                  <c:v>ORACEFAL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respi'!$B$6:$AH$6</c:f>
              <c:numCache>
                <c:ptCount val="33"/>
                <c:pt idx="0">
                  <c:v>377</c:v>
                </c:pt>
                <c:pt idx="1">
                  <c:v>358</c:v>
                </c:pt>
                <c:pt idx="2">
                  <c:v>410</c:v>
                </c:pt>
                <c:pt idx="3">
                  <c:v>554</c:v>
                </c:pt>
                <c:pt idx="4">
                  <c:v>653</c:v>
                </c:pt>
                <c:pt idx="5">
                  <c:v>451</c:v>
                </c:pt>
                <c:pt idx="6">
                  <c:v>330</c:v>
                </c:pt>
                <c:pt idx="7">
                  <c:v>222</c:v>
                </c:pt>
                <c:pt idx="8">
                  <c:v>204</c:v>
                </c:pt>
                <c:pt idx="9">
                  <c:v>130</c:v>
                </c:pt>
                <c:pt idx="10">
                  <c:v>146</c:v>
                </c:pt>
                <c:pt idx="11">
                  <c:v>279</c:v>
                </c:pt>
                <c:pt idx="12">
                  <c:v>317</c:v>
                </c:pt>
                <c:pt idx="13">
                  <c:v>285</c:v>
                </c:pt>
                <c:pt idx="14">
                  <c:v>506</c:v>
                </c:pt>
                <c:pt idx="15">
                  <c:v>406</c:v>
                </c:pt>
                <c:pt idx="16">
                  <c:v>552</c:v>
                </c:pt>
                <c:pt idx="17">
                  <c:v>420</c:v>
                </c:pt>
                <c:pt idx="18">
                  <c:v>285</c:v>
                </c:pt>
                <c:pt idx="19">
                  <c:v>233</c:v>
                </c:pt>
                <c:pt idx="20">
                  <c:v>223</c:v>
                </c:pt>
                <c:pt idx="21">
                  <c:v>185</c:v>
                </c:pt>
                <c:pt idx="22">
                  <c:v>196</c:v>
                </c:pt>
                <c:pt idx="23">
                  <c:v>217</c:v>
                </c:pt>
                <c:pt idx="24">
                  <c:v>362</c:v>
                </c:pt>
                <c:pt idx="25">
                  <c:v>317</c:v>
                </c:pt>
                <c:pt idx="26">
                  <c:v>408</c:v>
                </c:pt>
                <c:pt idx="27">
                  <c:v>560</c:v>
                </c:pt>
                <c:pt idx="28">
                  <c:v>430</c:v>
                </c:pt>
                <c:pt idx="29">
                  <c:v>300</c:v>
                </c:pt>
                <c:pt idx="30">
                  <c:v>153</c:v>
                </c:pt>
                <c:pt idx="31">
                  <c:v>195</c:v>
                </c:pt>
                <c:pt idx="32">
                  <c:v>184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respi'!$A$7</c:f>
              <c:strCache>
                <c:ptCount val="1"/>
                <c:pt idx="0">
                  <c:v>CEFAPEROS + Gé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respi'!$B$7:$AH$7</c:f>
              <c:numCache>
                <c:ptCount val="33"/>
                <c:pt idx="0">
                  <c:v>474</c:v>
                </c:pt>
                <c:pt idx="1">
                  <c:v>416</c:v>
                </c:pt>
                <c:pt idx="2">
                  <c:v>452</c:v>
                </c:pt>
                <c:pt idx="3">
                  <c:v>592</c:v>
                </c:pt>
                <c:pt idx="4">
                  <c:v>779</c:v>
                </c:pt>
                <c:pt idx="5">
                  <c:v>523</c:v>
                </c:pt>
                <c:pt idx="6">
                  <c:v>429</c:v>
                </c:pt>
                <c:pt idx="7">
                  <c:v>280</c:v>
                </c:pt>
                <c:pt idx="8">
                  <c:v>257</c:v>
                </c:pt>
                <c:pt idx="9">
                  <c:v>179</c:v>
                </c:pt>
                <c:pt idx="10">
                  <c:v>130</c:v>
                </c:pt>
                <c:pt idx="11">
                  <c:v>272</c:v>
                </c:pt>
                <c:pt idx="12">
                  <c:v>408</c:v>
                </c:pt>
                <c:pt idx="13">
                  <c:v>343</c:v>
                </c:pt>
                <c:pt idx="14">
                  <c:v>510</c:v>
                </c:pt>
                <c:pt idx="15">
                  <c:v>386</c:v>
                </c:pt>
                <c:pt idx="16">
                  <c:v>480</c:v>
                </c:pt>
                <c:pt idx="17">
                  <c:v>390</c:v>
                </c:pt>
                <c:pt idx="18">
                  <c:v>299</c:v>
                </c:pt>
                <c:pt idx="19">
                  <c:v>222</c:v>
                </c:pt>
                <c:pt idx="20">
                  <c:v>241</c:v>
                </c:pt>
                <c:pt idx="21">
                  <c:v>151</c:v>
                </c:pt>
                <c:pt idx="22">
                  <c:v>104</c:v>
                </c:pt>
                <c:pt idx="23">
                  <c:v>212</c:v>
                </c:pt>
                <c:pt idx="24">
                  <c:v>304</c:v>
                </c:pt>
                <c:pt idx="25">
                  <c:v>160</c:v>
                </c:pt>
                <c:pt idx="26">
                  <c:v>177</c:v>
                </c:pt>
                <c:pt idx="27">
                  <c:v>218</c:v>
                </c:pt>
                <c:pt idx="28">
                  <c:v>136</c:v>
                </c:pt>
                <c:pt idx="29">
                  <c:v>71</c:v>
                </c:pt>
                <c:pt idx="30">
                  <c:v>39</c:v>
                </c:pt>
                <c:pt idx="31">
                  <c:v>46</c:v>
                </c:pt>
                <c:pt idx="32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respi'!$A$8</c:f>
              <c:strCache>
                <c:ptCount val="1"/>
                <c:pt idx="0">
                  <c:v>ZINNAT + Gé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respi'!$B$8:$AH$8</c:f>
              <c:numCache>
                <c:ptCount val="33"/>
                <c:pt idx="0">
                  <c:v>3054</c:v>
                </c:pt>
                <c:pt idx="1">
                  <c:v>2492</c:v>
                </c:pt>
                <c:pt idx="2">
                  <c:v>3194</c:v>
                </c:pt>
                <c:pt idx="3">
                  <c:v>3653</c:v>
                </c:pt>
                <c:pt idx="4">
                  <c:v>5049</c:v>
                </c:pt>
                <c:pt idx="5">
                  <c:v>3936</c:v>
                </c:pt>
                <c:pt idx="6">
                  <c:v>2819</c:v>
                </c:pt>
                <c:pt idx="7">
                  <c:v>2067</c:v>
                </c:pt>
                <c:pt idx="8">
                  <c:v>1660</c:v>
                </c:pt>
                <c:pt idx="9">
                  <c:v>999</c:v>
                </c:pt>
                <c:pt idx="10">
                  <c:v>938</c:v>
                </c:pt>
                <c:pt idx="11">
                  <c:v>1729</c:v>
                </c:pt>
                <c:pt idx="12">
                  <c:v>2076</c:v>
                </c:pt>
                <c:pt idx="13">
                  <c:v>1867</c:v>
                </c:pt>
                <c:pt idx="14">
                  <c:v>2860</c:v>
                </c:pt>
                <c:pt idx="15">
                  <c:v>2800</c:v>
                </c:pt>
                <c:pt idx="16">
                  <c:v>2723</c:v>
                </c:pt>
                <c:pt idx="17">
                  <c:v>2305</c:v>
                </c:pt>
                <c:pt idx="18">
                  <c:v>1722</c:v>
                </c:pt>
                <c:pt idx="19">
                  <c:v>1379</c:v>
                </c:pt>
                <c:pt idx="20">
                  <c:v>1217</c:v>
                </c:pt>
                <c:pt idx="21">
                  <c:v>824</c:v>
                </c:pt>
                <c:pt idx="22">
                  <c:v>929</c:v>
                </c:pt>
                <c:pt idx="23">
                  <c:v>1248</c:v>
                </c:pt>
                <c:pt idx="24">
                  <c:v>1895</c:v>
                </c:pt>
                <c:pt idx="25">
                  <c:v>1741</c:v>
                </c:pt>
                <c:pt idx="26">
                  <c:v>2021</c:v>
                </c:pt>
                <c:pt idx="27">
                  <c:v>2909</c:v>
                </c:pt>
                <c:pt idx="28">
                  <c:v>2316</c:v>
                </c:pt>
                <c:pt idx="29">
                  <c:v>1444</c:v>
                </c:pt>
                <c:pt idx="30">
                  <c:v>1196</c:v>
                </c:pt>
                <c:pt idx="31">
                  <c:v>1080</c:v>
                </c:pt>
                <c:pt idx="32">
                  <c:v>962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respi'!$A$9</c:f>
              <c:strCache>
                <c:ptCount val="1"/>
                <c:pt idx="0">
                  <c:v>ALFATIL + Gé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respi'!$B$9:$AH$9</c:f>
              <c:numCache>
                <c:ptCount val="33"/>
                <c:pt idx="0">
                  <c:v>1205</c:v>
                </c:pt>
                <c:pt idx="1">
                  <c:v>1037</c:v>
                </c:pt>
                <c:pt idx="2">
                  <c:v>1332</c:v>
                </c:pt>
                <c:pt idx="3">
                  <c:v>1401</c:v>
                </c:pt>
                <c:pt idx="4">
                  <c:v>1881</c:v>
                </c:pt>
                <c:pt idx="5">
                  <c:v>1547</c:v>
                </c:pt>
                <c:pt idx="6">
                  <c:v>1260</c:v>
                </c:pt>
                <c:pt idx="7">
                  <c:v>878</c:v>
                </c:pt>
                <c:pt idx="8">
                  <c:v>812</c:v>
                </c:pt>
                <c:pt idx="9">
                  <c:v>575</c:v>
                </c:pt>
                <c:pt idx="10">
                  <c:v>351</c:v>
                </c:pt>
                <c:pt idx="11">
                  <c:v>859</c:v>
                </c:pt>
                <c:pt idx="12">
                  <c:v>1211</c:v>
                </c:pt>
                <c:pt idx="13">
                  <c:v>1036</c:v>
                </c:pt>
                <c:pt idx="14">
                  <c:v>1666</c:v>
                </c:pt>
                <c:pt idx="15">
                  <c:v>1364</c:v>
                </c:pt>
                <c:pt idx="16">
                  <c:v>1712</c:v>
                </c:pt>
                <c:pt idx="17">
                  <c:v>1435</c:v>
                </c:pt>
                <c:pt idx="18">
                  <c:v>1159</c:v>
                </c:pt>
                <c:pt idx="19">
                  <c:v>746</c:v>
                </c:pt>
                <c:pt idx="20">
                  <c:v>750</c:v>
                </c:pt>
                <c:pt idx="21">
                  <c:v>505</c:v>
                </c:pt>
                <c:pt idx="22">
                  <c:v>456</c:v>
                </c:pt>
                <c:pt idx="23">
                  <c:v>751</c:v>
                </c:pt>
                <c:pt idx="24">
                  <c:v>1303</c:v>
                </c:pt>
                <c:pt idx="25">
                  <c:v>1068</c:v>
                </c:pt>
                <c:pt idx="26">
                  <c:v>1498</c:v>
                </c:pt>
                <c:pt idx="27">
                  <c:v>1830</c:v>
                </c:pt>
                <c:pt idx="28">
                  <c:v>1593</c:v>
                </c:pt>
                <c:pt idx="29">
                  <c:v>900</c:v>
                </c:pt>
                <c:pt idx="30">
                  <c:v>603</c:v>
                </c:pt>
                <c:pt idx="31">
                  <c:v>684</c:v>
                </c:pt>
                <c:pt idx="32">
                  <c:v>595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respi'!$A$10</c:f>
              <c:strCache>
                <c:ptCount val="1"/>
                <c:pt idx="0">
                  <c:v>TEXODIL / TAKETIAM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respi'!$B$10:$AH$10</c:f>
              <c:numCache>
                <c:ptCount val="33"/>
                <c:pt idx="0">
                  <c:v>678</c:v>
                </c:pt>
                <c:pt idx="1">
                  <c:v>606</c:v>
                </c:pt>
                <c:pt idx="2">
                  <c:v>801</c:v>
                </c:pt>
                <c:pt idx="3">
                  <c:v>875</c:v>
                </c:pt>
                <c:pt idx="4">
                  <c:v>1187</c:v>
                </c:pt>
                <c:pt idx="5">
                  <c:v>946</c:v>
                </c:pt>
                <c:pt idx="6">
                  <c:v>660</c:v>
                </c:pt>
                <c:pt idx="7">
                  <c:v>473</c:v>
                </c:pt>
                <c:pt idx="8">
                  <c:v>344</c:v>
                </c:pt>
                <c:pt idx="9">
                  <c:v>223</c:v>
                </c:pt>
                <c:pt idx="10">
                  <c:v>256</c:v>
                </c:pt>
                <c:pt idx="11">
                  <c:v>397</c:v>
                </c:pt>
                <c:pt idx="12">
                  <c:v>505</c:v>
                </c:pt>
                <c:pt idx="13">
                  <c:v>416</c:v>
                </c:pt>
                <c:pt idx="14">
                  <c:v>615</c:v>
                </c:pt>
                <c:pt idx="15">
                  <c:v>680</c:v>
                </c:pt>
                <c:pt idx="16">
                  <c:v>662</c:v>
                </c:pt>
                <c:pt idx="17">
                  <c:v>555</c:v>
                </c:pt>
                <c:pt idx="18">
                  <c:v>414</c:v>
                </c:pt>
                <c:pt idx="19">
                  <c:v>374</c:v>
                </c:pt>
                <c:pt idx="20">
                  <c:v>299</c:v>
                </c:pt>
                <c:pt idx="21">
                  <c:v>178</c:v>
                </c:pt>
                <c:pt idx="22">
                  <c:v>227</c:v>
                </c:pt>
                <c:pt idx="23">
                  <c:v>345</c:v>
                </c:pt>
                <c:pt idx="24">
                  <c:v>536</c:v>
                </c:pt>
                <c:pt idx="25">
                  <c:v>517</c:v>
                </c:pt>
                <c:pt idx="26">
                  <c:v>531</c:v>
                </c:pt>
                <c:pt idx="27">
                  <c:v>857</c:v>
                </c:pt>
                <c:pt idx="28">
                  <c:v>667</c:v>
                </c:pt>
                <c:pt idx="29">
                  <c:v>432</c:v>
                </c:pt>
                <c:pt idx="30">
                  <c:v>339</c:v>
                </c:pt>
                <c:pt idx="31">
                  <c:v>305</c:v>
                </c:pt>
                <c:pt idx="32">
                  <c:v>295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'Chiffres Inf respi'!$A$11</c:f>
              <c:strCache>
                <c:ptCount val="1"/>
                <c:pt idx="0">
                  <c:v>ROCEPHINE + Gé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respi'!$B$11:$AH$11</c:f>
              <c:numCache>
                <c:ptCount val="33"/>
                <c:pt idx="0">
                  <c:v>889</c:v>
                </c:pt>
                <c:pt idx="1">
                  <c:v>785</c:v>
                </c:pt>
                <c:pt idx="2">
                  <c:v>965</c:v>
                </c:pt>
                <c:pt idx="3">
                  <c:v>1297</c:v>
                </c:pt>
                <c:pt idx="4">
                  <c:v>1738</c:v>
                </c:pt>
                <c:pt idx="5">
                  <c:v>1583</c:v>
                </c:pt>
                <c:pt idx="6">
                  <c:v>963</c:v>
                </c:pt>
                <c:pt idx="7">
                  <c:v>787</c:v>
                </c:pt>
                <c:pt idx="8">
                  <c:v>698</c:v>
                </c:pt>
                <c:pt idx="9">
                  <c:v>497</c:v>
                </c:pt>
                <c:pt idx="10">
                  <c:v>482</c:v>
                </c:pt>
                <c:pt idx="11">
                  <c:v>639</c:v>
                </c:pt>
                <c:pt idx="12">
                  <c:v>869</c:v>
                </c:pt>
                <c:pt idx="13">
                  <c:v>835</c:v>
                </c:pt>
                <c:pt idx="14">
                  <c:v>1056</c:v>
                </c:pt>
                <c:pt idx="15">
                  <c:v>1303</c:v>
                </c:pt>
                <c:pt idx="16">
                  <c:v>1130</c:v>
                </c:pt>
                <c:pt idx="17">
                  <c:v>1138</c:v>
                </c:pt>
                <c:pt idx="18">
                  <c:v>795</c:v>
                </c:pt>
                <c:pt idx="19">
                  <c:v>763</c:v>
                </c:pt>
                <c:pt idx="20">
                  <c:v>663</c:v>
                </c:pt>
                <c:pt idx="21">
                  <c:v>519</c:v>
                </c:pt>
                <c:pt idx="22">
                  <c:v>532</c:v>
                </c:pt>
                <c:pt idx="23">
                  <c:v>681</c:v>
                </c:pt>
                <c:pt idx="24">
                  <c:v>930</c:v>
                </c:pt>
                <c:pt idx="25">
                  <c:v>878</c:v>
                </c:pt>
                <c:pt idx="26">
                  <c:v>891</c:v>
                </c:pt>
                <c:pt idx="27">
                  <c:v>1666</c:v>
                </c:pt>
                <c:pt idx="28">
                  <c:v>1344</c:v>
                </c:pt>
                <c:pt idx="29">
                  <c:v>849</c:v>
                </c:pt>
                <c:pt idx="30">
                  <c:v>706</c:v>
                </c:pt>
                <c:pt idx="31">
                  <c:v>713</c:v>
                </c:pt>
                <c:pt idx="32">
                  <c:v>624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'Chiffres Inf respi'!$A$12</c:f>
              <c:strCache>
                <c:ptCount val="1"/>
                <c:pt idx="0">
                  <c:v>OROKEN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respi'!$B$12:$AH$12</c:f>
              <c:numCache>
                <c:ptCount val="33"/>
                <c:pt idx="0">
                  <c:v>1760</c:v>
                </c:pt>
                <c:pt idx="1">
                  <c:v>1537</c:v>
                </c:pt>
                <c:pt idx="2">
                  <c:v>1837</c:v>
                </c:pt>
                <c:pt idx="3">
                  <c:v>2216</c:v>
                </c:pt>
                <c:pt idx="4">
                  <c:v>2838</c:v>
                </c:pt>
                <c:pt idx="5">
                  <c:v>2266</c:v>
                </c:pt>
                <c:pt idx="6">
                  <c:v>1946</c:v>
                </c:pt>
                <c:pt idx="7">
                  <c:v>1462</c:v>
                </c:pt>
                <c:pt idx="8">
                  <c:v>1444</c:v>
                </c:pt>
                <c:pt idx="9">
                  <c:v>1152</c:v>
                </c:pt>
                <c:pt idx="10">
                  <c:v>958</c:v>
                </c:pt>
                <c:pt idx="11">
                  <c:v>1393</c:v>
                </c:pt>
                <c:pt idx="12">
                  <c:v>1660</c:v>
                </c:pt>
                <c:pt idx="13">
                  <c:v>1363</c:v>
                </c:pt>
                <c:pt idx="14">
                  <c:v>1932</c:v>
                </c:pt>
                <c:pt idx="15">
                  <c:v>1717</c:v>
                </c:pt>
                <c:pt idx="16">
                  <c:v>2064</c:v>
                </c:pt>
                <c:pt idx="17">
                  <c:v>1814</c:v>
                </c:pt>
                <c:pt idx="18">
                  <c:v>1533</c:v>
                </c:pt>
                <c:pt idx="19">
                  <c:v>1321</c:v>
                </c:pt>
                <c:pt idx="20">
                  <c:v>1352</c:v>
                </c:pt>
                <c:pt idx="21">
                  <c:v>1222</c:v>
                </c:pt>
                <c:pt idx="22">
                  <c:v>1230</c:v>
                </c:pt>
                <c:pt idx="23">
                  <c:v>1395</c:v>
                </c:pt>
                <c:pt idx="24">
                  <c:v>1847</c:v>
                </c:pt>
                <c:pt idx="25">
                  <c:v>1591</c:v>
                </c:pt>
                <c:pt idx="26">
                  <c:v>1896</c:v>
                </c:pt>
                <c:pt idx="27">
                  <c:v>2294</c:v>
                </c:pt>
                <c:pt idx="28">
                  <c:v>1991</c:v>
                </c:pt>
                <c:pt idx="29">
                  <c:v>1421</c:v>
                </c:pt>
                <c:pt idx="30">
                  <c:v>1201</c:v>
                </c:pt>
                <c:pt idx="31">
                  <c:v>1310</c:v>
                </c:pt>
                <c:pt idx="32">
                  <c:v>1282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'Chiffres Inf respi'!$A$13</c:f>
              <c:strCache>
                <c:ptCount val="1"/>
                <c:pt idx="0">
                  <c:v>ORELOX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respi'!$B$13:$AH$13</c:f>
              <c:numCache>
                <c:ptCount val="33"/>
                <c:pt idx="0">
                  <c:v>6427</c:v>
                </c:pt>
                <c:pt idx="1">
                  <c:v>5781</c:v>
                </c:pt>
                <c:pt idx="2">
                  <c:v>7592</c:v>
                </c:pt>
                <c:pt idx="3">
                  <c:v>8567</c:v>
                </c:pt>
                <c:pt idx="4">
                  <c:v>10822</c:v>
                </c:pt>
                <c:pt idx="5">
                  <c:v>8886</c:v>
                </c:pt>
                <c:pt idx="6">
                  <c:v>7517</c:v>
                </c:pt>
                <c:pt idx="7">
                  <c:v>5311</c:v>
                </c:pt>
                <c:pt idx="8">
                  <c:v>5190</c:v>
                </c:pt>
                <c:pt idx="9">
                  <c:v>3750</c:v>
                </c:pt>
                <c:pt idx="10">
                  <c:v>2981</c:v>
                </c:pt>
                <c:pt idx="11">
                  <c:v>5024</c:v>
                </c:pt>
                <c:pt idx="12">
                  <c:v>6192</c:v>
                </c:pt>
                <c:pt idx="13">
                  <c:v>5247</c:v>
                </c:pt>
                <c:pt idx="14">
                  <c:v>8386</c:v>
                </c:pt>
                <c:pt idx="15">
                  <c:v>7575</c:v>
                </c:pt>
                <c:pt idx="16">
                  <c:v>9315</c:v>
                </c:pt>
                <c:pt idx="17">
                  <c:v>7967</c:v>
                </c:pt>
                <c:pt idx="18">
                  <c:v>6581</c:v>
                </c:pt>
                <c:pt idx="19">
                  <c:v>5305</c:v>
                </c:pt>
                <c:pt idx="20">
                  <c:v>5337</c:v>
                </c:pt>
                <c:pt idx="21">
                  <c:v>4478</c:v>
                </c:pt>
                <c:pt idx="22">
                  <c:v>4046</c:v>
                </c:pt>
                <c:pt idx="23">
                  <c:v>5025</c:v>
                </c:pt>
                <c:pt idx="24">
                  <c:v>7706</c:v>
                </c:pt>
                <c:pt idx="25">
                  <c:v>6828</c:v>
                </c:pt>
                <c:pt idx="26">
                  <c:v>8451</c:v>
                </c:pt>
                <c:pt idx="27">
                  <c:v>10484</c:v>
                </c:pt>
                <c:pt idx="28">
                  <c:v>8941</c:v>
                </c:pt>
                <c:pt idx="29">
                  <c:v>5991</c:v>
                </c:pt>
                <c:pt idx="30">
                  <c:v>4478</c:v>
                </c:pt>
                <c:pt idx="31">
                  <c:v>4852</c:v>
                </c:pt>
                <c:pt idx="32">
                  <c:v>4464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'Chiffres Inf respi'!$A$14</c:f>
              <c:strCache>
                <c:ptCount val="1"/>
                <c:pt idx="0">
                  <c:v>RULID / CLARAMID + Gé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respi'!$B$14:$AH$14</c:f>
              <c:numCache>
                <c:ptCount val="33"/>
                <c:pt idx="0">
                  <c:v>1170</c:v>
                </c:pt>
                <c:pt idx="1">
                  <c:v>1031</c:v>
                </c:pt>
                <c:pt idx="2">
                  <c:v>1312</c:v>
                </c:pt>
                <c:pt idx="3">
                  <c:v>1576</c:v>
                </c:pt>
                <c:pt idx="4">
                  <c:v>2429</c:v>
                </c:pt>
                <c:pt idx="5">
                  <c:v>1648</c:v>
                </c:pt>
                <c:pt idx="6">
                  <c:v>1123</c:v>
                </c:pt>
                <c:pt idx="7">
                  <c:v>834</c:v>
                </c:pt>
                <c:pt idx="8">
                  <c:v>757</c:v>
                </c:pt>
                <c:pt idx="9">
                  <c:v>498</c:v>
                </c:pt>
                <c:pt idx="10">
                  <c:v>518</c:v>
                </c:pt>
                <c:pt idx="11">
                  <c:v>773</c:v>
                </c:pt>
                <c:pt idx="12">
                  <c:v>969</c:v>
                </c:pt>
                <c:pt idx="13">
                  <c:v>821</c:v>
                </c:pt>
                <c:pt idx="14">
                  <c:v>1248</c:v>
                </c:pt>
                <c:pt idx="15">
                  <c:v>1239</c:v>
                </c:pt>
                <c:pt idx="16">
                  <c:v>1300</c:v>
                </c:pt>
                <c:pt idx="17">
                  <c:v>1185</c:v>
                </c:pt>
                <c:pt idx="18">
                  <c:v>910</c:v>
                </c:pt>
                <c:pt idx="19">
                  <c:v>678</c:v>
                </c:pt>
                <c:pt idx="20">
                  <c:v>613</c:v>
                </c:pt>
                <c:pt idx="21">
                  <c:v>419</c:v>
                </c:pt>
                <c:pt idx="22">
                  <c:v>441</c:v>
                </c:pt>
                <c:pt idx="23">
                  <c:v>677</c:v>
                </c:pt>
                <c:pt idx="24">
                  <c:v>1057</c:v>
                </c:pt>
                <c:pt idx="25">
                  <c:v>814</c:v>
                </c:pt>
                <c:pt idx="26">
                  <c:v>938</c:v>
                </c:pt>
                <c:pt idx="27">
                  <c:v>1465</c:v>
                </c:pt>
                <c:pt idx="28">
                  <c:v>1299</c:v>
                </c:pt>
                <c:pt idx="29">
                  <c:v>745</c:v>
                </c:pt>
                <c:pt idx="30">
                  <c:v>534</c:v>
                </c:pt>
                <c:pt idx="31">
                  <c:v>603</c:v>
                </c:pt>
                <c:pt idx="32">
                  <c:v>550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'Chiffres Inf respi'!$A$15</c:f>
              <c:strCache>
                <c:ptCount val="1"/>
                <c:pt idx="0">
                  <c:v>JOSACINE + Gé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respi'!$B$15:$AH$15</c:f>
              <c:numCache>
                <c:ptCount val="33"/>
                <c:pt idx="0">
                  <c:v>855</c:v>
                </c:pt>
                <c:pt idx="1">
                  <c:v>816</c:v>
                </c:pt>
                <c:pt idx="2">
                  <c:v>976</c:v>
                </c:pt>
                <c:pt idx="3">
                  <c:v>1091</c:v>
                </c:pt>
                <c:pt idx="4">
                  <c:v>1462</c:v>
                </c:pt>
                <c:pt idx="5">
                  <c:v>1046</c:v>
                </c:pt>
                <c:pt idx="6">
                  <c:v>911</c:v>
                </c:pt>
                <c:pt idx="7">
                  <c:v>619</c:v>
                </c:pt>
                <c:pt idx="8">
                  <c:v>680</c:v>
                </c:pt>
                <c:pt idx="9">
                  <c:v>523</c:v>
                </c:pt>
                <c:pt idx="10">
                  <c:v>344</c:v>
                </c:pt>
                <c:pt idx="11">
                  <c:v>605</c:v>
                </c:pt>
                <c:pt idx="12">
                  <c:v>889</c:v>
                </c:pt>
                <c:pt idx="13">
                  <c:v>783</c:v>
                </c:pt>
                <c:pt idx="14">
                  <c:v>1250</c:v>
                </c:pt>
                <c:pt idx="15">
                  <c:v>877</c:v>
                </c:pt>
                <c:pt idx="16">
                  <c:v>1164</c:v>
                </c:pt>
                <c:pt idx="17">
                  <c:v>1010</c:v>
                </c:pt>
                <c:pt idx="18">
                  <c:v>832</c:v>
                </c:pt>
                <c:pt idx="19">
                  <c:v>605</c:v>
                </c:pt>
                <c:pt idx="20">
                  <c:v>580</c:v>
                </c:pt>
                <c:pt idx="21">
                  <c:v>456</c:v>
                </c:pt>
                <c:pt idx="22">
                  <c:v>386</c:v>
                </c:pt>
                <c:pt idx="23">
                  <c:v>524</c:v>
                </c:pt>
                <c:pt idx="24">
                  <c:v>880</c:v>
                </c:pt>
                <c:pt idx="25">
                  <c:v>710</c:v>
                </c:pt>
                <c:pt idx="26">
                  <c:v>898</c:v>
                </c:pt>
                <c:pt idx="27">
                  <c:v>1187</c:v>
                </c:pt>
                <c:pt idx="28">
                  <c:v>963</c:v>
                </c:pt>
                <c:pt idx="29">
                  <c:v>584</c:v>
                </c:pt>
                <c:pt idx="30">
                  <c:v>430</c:v>
                </c:pt>
                <c:pt idx="31">
                  <c:v>563</c:v>
                </c:pt>
                <c:pt idx="32">
                  <c:v>523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'Chiffres Inf respi'!$A$16</c:f>
              <c:strCache>
                <c:ptCount val="1"/>
                <c:pt idx="0">
                  <c:v>NAXY / ZECLAR / MONONAXY / MONOZECLAR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respi'!$B$16:$AH$16</c:f>
              <c:numCache>
                <c:ptCount val="33"/>
                <c:pt idx="0">
                  <c:v>3797</c:v>
                </c:pt>
                <c:pt idx="1">
                  <c:v>3381</c:v>
                </c:pt>
                <c:pt idx="2">
                  <c:v>4546</c:v>
                </c:pt>
                <c:pt idx="3">
                  <c:v>4972</c:v>
                </c:pt>
                <c:pt idx="4">
                  <c:v>7228</c:v>
                </c:pt>
                <c:pt idx="5">
                  <c:v>5711</c:v>
                </c:pt>
                <c:pt idx="6">
                  <c:v>4168</c:v>
                </c:pt>
                <c:pt idx="7">
                  <c:v>3199</c:v>
                </c:pt>
                <c:pt idx="8">
                  <c:v>2786</c:v>
                </c:pt>
                <c:pt idx="9">
                  <c:v>1960</c:v>
                </c:pt>
                <c:pt idx="10">
                  <c:v>1702</c:v>
                </c:pt>
                <c:pt idx="11">
                  <c:v>3558</c:v>
                </c:pt>
                <c:pt idx="12">
                  <c:v>4921</c:v>
                </c:pt>
                <c:pt idx="13">
                  <c:v>3995</c:v>
                </c:pt>
                <c:pt idx="14">
                  <c:v>5870</c:v>
                </c:pt>
                <c:pt idx="15">
                  <c:v>5456</c:v>
                </c:pt>
                <c:pt idx="16">
                  <c:v>5682</c:v>
                </c:pt>
                <c:pt idx="17">
                  <c:v>4776</c:v>
                </c:pt>
                <c:pt idx="18">
                  <c:v>4090</c:v>
                </c:pt>
                <c:pt idx="19">
                  <c:v>3366</c:v>
                </c:pt>
                <c:pt idx="20">
                  <c:v>3151</c:v>
                </c:pt>
                <c:pt idx="21">
                  <c:v>2120</c:v>
                </c:pt>
                <c:pt idx="22">
                  <c:v>2117</c:v>
                </c:pt>
                <c:pt idx="23">
                  <c:v>3144</c:v>
                </c:pt>
                <c:pt idx="24">
                  <c:v>5158</c:v>
                </c:pt>
                <c:pt idx="25">
                  <c:v>4296</c:v>
                </c:pt>
                <c:pt idx="26">
                  <c:v>4877</c:v>
                </c:pt>
                <c:pt idx="27">
                  <c:v>6222</c:v>
                </c:pt>
                <c:pt idx="28">
                  <c:v>5129</c:v>
                </c:pt>
                <c:pt idx="29">
                  <c:v>2972</c:v>
                </c:pt>
                <c:pt idx="30">
                  <c:v>2372</c:v>
                </c:pt>
                <c:pt idx="31">
                  <c:v>2411</c:v>
                </c:pt>
                <c:pt idx="32">
                  <c:v>2212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'Chiffres Inf respi'!$A$17</c:f>
              <c:strCache>
                <c:ptCount val="1"/>
                <c:pt idx="0">
                  <c:v>ZITHROMAX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respi'!$B$17:$AH$17</c:f>
              <c:numCache>
                <c:ptCount val="33"/>
                <c:pt idx="0">
                  <c:v>2103</c:v>
                </c:pt>
                <c:pt idx="1">
                  <c:v>1797</c:v>
                </c:pt>
                <c:pt idx="2">
                  <c:v>2229</c:v>
                </c:pt>
                <c:pt idx="3">
                  <c:v>2390</c:v>
                </c:pt>
                <c:pt idx="4">
                  <c:v>2912</c:v>
                </c:pt>
                <c:pt idx="5">
                  <c:v>2266</c:v>
                </c:pt>
                <c:pt idx="6">
                  <c:v>1779</c:v>
                </c:pt>
                <c:pt idx="7">
                  <c:v>1497</c:v>
                </c:pt>
                <c:pt idx="8">
                  <c:v>1495</c:v>
                </c:pt>
                <c:pt idx="9">
                  <c:v>1144</c:v>
                </c:pt>
                <c:pt idx="10">
                  <c:v>994</c:v>
                </c:pt>
                <c:pt idx="11">
                  <c:v>1550</c:v>
                </c:pt>
                <c:pt idx="12">
                  <c:v>1747</c:v>
                </c:pt>
                <c:pt idx="13">
                  <c:v>1462</c:v>
                </c:pt>
                <c:pt idx="14">
                  <c:v>1884</c:v>
                </c:pt>
                <c:pt idx="15">
                  <c:v>1666</c:v>
                </c:pt>
                <c:pt idx="16">
                  <c:v>1827</c:v>
                </c:pt>
                <c:pt idx="17">
                  <c:v>1683</c:v>
                </c:pt>
                <c:pt idx="18">
                  <c:v>1433</c:v>
                </c:pt>
                <c:pt idx="19">
                  <c:v>1127</c:v>
                </c:pt>
                <c:pt idx="20">
                  <c:v>1155</c:v>
                </c:pt>
                <c:pt idx="21">
                  <c:v>887</c:v>
                </c:pt>
                <c:pt idx="22">
                  <c:v>926</c:v>
                </c:pt>
                <c:pt idx="23">
                  <c:v>1198</c:v>
                </c:pt>
                <c:pt idx="24">
                  <c:v>1622</c:v>
                </c:pt>
                <c:pt idx="25">
                  <c:v>1424</c:v>
                </c:pt>
                <c:pt idx="26">
                  <c:v>1576</c:v>
                </c:pt>
                <c:pt idx="27">
                  <c:v>1760</c:v>
                </c:pt>
                <c:pt idx="28">
                  <c:v>1479</c:v>
                </c:pt>
                <c:pt idx="29">
                  <c:v>1020</c:v>
                </c:pt>
                <c:pt idx="30">
                  <c:v>739</c:v>
                </c:pt>
                <c:pt idx="31">
                  <c:v>854</c:v>
                </c:pt>
                <c:pt idx="32">
                  <c:v>847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'Chiffres Inf respi'!$A$18</c:f>
              <c:strCache>
                <c:ptCount val="1"/>
                <c:pt idx="0">
                  <c:v>KETEK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respi'!$B$18:$AH$18</c:f>
              <c:numCache>
                <c:ptCount val="33"/>
                <c:pt idx="0">
                  <c:v>1825</c:v>
                </c:pt>
                <c:pt idx="1">
                  <c:v>1706</c:v>
                </c:pt>
                <c:pt idx="2">
                  <c:v>2086</c:v>
                </c:pt>
                <c:pt idx="3">
                  <c:v>2101</c:v>
                </c:pt>
                <c:pt idx="4">
                  <c:v>2782</c:v>
                </c:pt>
                <c:pt idx="5">
                  <c:v>2161</c:v>
                </c:pt>
                <c:pt idx="6">
                  <c:v>1440</c:v>
                </c:pt>
                <c:pt idx="7">
                  <c:v>1067</c:v>
                </c:pt>
                <c:pt idx="8">
                  <c:v>834</c:v>
                </c:pt>
                <c:pt idx="9">
                  <c:v>451</c:v>
                </c:pt>
                <c:pt idx="10">
                  <c:v>489</c:v>
                </c:pt>
                <c:pt idx="11">
                  <c:v>951</c:v>
                </c:pt>
                <c:pt idx="12">
                  <c:v>1532</c:v>
                </c:pt>
                <c:pt idx="13">
                  <c:v>1176</c:v>
                </c:pt>
                <c:pt idx="14">
                  <c:v>1756</c:v>
                </c:pt>
                <c:pt idx="15">
                  <c:v>1724</c:v>
                </c:pt>
                <c:pt idx="16">
                  <c:v>1656</c:v>
                </c:pt>
                <c:pt idx="17">
                  <c:v>1572</c:v>
                </c:pt>
                <c:pt idx="18">
                  <c:v>1088</c:v>
                </c:pt>
                <c:pt idx="19">
                  <c:v>961</c:v>
                </c:pt>
                <c:pt idx="20">
                  <c:v>1067</c:v>
                </c:pt>
                <c:pt idx="21">
                  <c:v>611</c:v>
                </c:pt>
                <c:pt idx="22">
                  <c:v>560</c:v>
                </c:pt>
                <c:pt idx="23">
                  <c:v>922</c:v>
                </c:pt>
                <c:pt idx="24">
                  <c:v>1809</c:v>
                </c:pt>
                <c:pt idx="25">
                  <c:v>1562</c:v>
                </c:pt>
                <c:pt idx="26">
                  <c:v>1678</c:v>
                </c:pt>
                <c:pt idx="27">
                  <c:v>2204</c:v>
                </c:pt>
                <c:pt idx="28">
                  <c:v>1537</c:v>
                </c:pt>
                <c:pt idx="29">
                  <c:v>912</c:v>
                </c:pt>
                <c:pt idx="30">
                  <c:v>522</c:v>
                </c:pt>
                <c:pt idx="31">
                  <c:v>301</c:v>
                </c:pt>
                <c:pt idx="32">
                  <c:v>274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'Chiffres Inf respi'!$A$19</c:f>
              <c:strCache>
                <c:ptCount val="1"/>
                <c:pt idx="0">
                  <c:v>PYOSTACINE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respi'!$B$19:$AH$19</c:f>
              <c:numCache>
                <c:ptCount val="33"/>
                <c:pt idx="0">
                  <c:v>1547</c:v>
                </c:pt>
                <c:pt idx="1">
                  <c:v>1438</c:v>
                </c:pt>
                <c:pt idx="2">
                  <c:v>1683</c:v>
                </c:pt>
                <c:pt idx="3">
                  <c:v>1777</c:v>
                </c:pt>
                <c:pt idx="4">
                  <c:v>1980</c:v>
                </c:pt>
                <c:pt idx="5">
                  <c:v>1875</c:v>
                </c:pt>
                <c:pt idx="6">
                  <c:v>1563</c:v>
                </c:pt>
                <c:pt idx="7">
                  <c:v>1380</c:v>
                </c:pt>
                <c:pt idx="8">
                  <c:v>1292</c:v>
                </c:pt>
                <c:pt idx="9">
                  <c:v>1228</c:v>
                </c:pt>
                <c:pt idx="10">
                  <c:v>1182</c:v>
                </c:pt>
                <c:pt idx="11">
                  <c:v>1472</c:v>
                </c:pt>
                <c:pt idx="12">
                  <c:v>1632</c:v>
                </c:pt>
                <c:pt idx="13">
                  <c:v>1399</c:v>
                </c:pt>
                <c:pt idx="14">
                  <c:v>1863</c:v>
                </c:pt>
                <c:pt idx="15">
                  <c:v>1827</c:v>
                </c:pt>
                <c:pt idx="16">
                  <c:v>1789</c:v>
                </c:pt>
                <c:pt idx="17">
                  <c:v>1676</c:v>
                </c:pt>
                <c:pt idx="18">
                  <c:v>1275</c:v>
                </c:pt>
                <c:pt idx="19">
                  <c:v>1405</c:v>
                </c:pt>
                <c:pt idx="20">
                  <c:v>1393</c:v>
                </c:pt>
                <c:pt idx="21">
                  <c:v>1303</c:v>
                </c:pt>
                <c:pt idx="22">
                  <c:v>1332</c:v>
                </c:pt>
                <c:pt idx="23">
                  <c:v>1496</c:v>
                </c:pt>
                <c:pt idx="24">
                  <c:v>1835</c:v>
                </c:pt>
                <c:pt idx="25">
                  <c:v>1651</c:v>
                </c:pt>
                <c:pt idx="26">
                  <c:v>1581</c:v>
                </c:pt>
                <c:pt idx="27">
                  <c:v>2233</c:v>
                </c:pt>
                <c:pt idx="28">
                  <c:v>1869</c:v>
                </c:pt>
                <c:pt idx="29">
                  <c:v>1569</c:v>
                </c:pt>
                <c:pt idx="30">
                  <c:v>1329</c:v>
                </c:pt>
                <c:pt idx="31">
                  <c:v>1391</c:v>
                </c:pt>
                <c:pt idx="32">
                  <c:v>1386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'Chiffres Inf respi'!$A$20</c:f>
              <c:strCache>
                <c:ptCount val="1"/>
                <c:pt idx="0">
                  <c:v>OFLOCET + Gé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respi'!$B$20:$AH$20</c:f>
              <c:numCache>
                <c:ptCount val="33"/>
                <c:pt idx="0">
                  <c:v>519</c:v>
                </c:pt>
                <c:pt idx="1">
                  <c:v>493</c:v>
                </c:pt>
                <c:pt idx="2">
                  <c:v>518</c:v>
                </c:pt>
                <c:pt idx="3">
                  <c:v>516</c:v>
                </c:pt>
                <c:pt idx="4">
                  <c:v>472</c:v>
                </c:pt>
                <c:pt idx="5">
                  <c:v>555</c:v>
                </c:pt>
                <c:pt idx="6">
                  <c:v>508</c:v>
                </c:pt>
                <c:pt idx="7">
                  <c:v>480</c:v>
                </c:pt>
                <c:pt idx="8">
                  <c:v>409</c:v>
                </c:pt>
                <c:pt idx="9">
                  <c:v>411</c:v>
                </c:pt>
                <c:pt idx="10">
                  <c:v>495</c:v>
                </c:pt>
                <c:pt idx="11">
                  <c:v>511</c:v>
                </c:pt>
                <c:pt idx="12">
                  <c:v>552</c:v>
                </c:pt>
                <c:pt idx="13">
                  <c:v>538</c:v>
                </c:pt>
                <c:pt idx="14">
                  <c:v>537</c:v>
                </c:pt>
                <c:pt idx="15">
                  <c:v>624</c:v>
                </c:pt>
                <c:pt idx="16">
                  <c:v>509</c:v>
                </c:pt>
                <c:pt idx="17">
                  <c:v>599</c:v>
                </c:pt>
                <c:pt idx="18">
                  <c:v>434</c:v>
                </c:pt>
                <c:pt idx="19">
                  <c:v>544</c:v>
                </c:pt>
                <c:pt idx="20">
                  <c:v>471</c:v>
                </c:pt>
                <c:pt idx="21">
                  <c:v>419</c:v>
                </c:pt>
                <c:pt idx="22">
                  <c:v>491</c:v>
                </c:pt>
                <c:pt idx="23">
                  <c:v>557</c:v>
                </c:pt>
                <c:pt idx="24">
                  <c:v>592</c:v>
                </c:pt>
                <c:pt idx="25">
                  <c:v>551</c:v>
                </c:pt>
                <c:pt idx="26">
                  <c:v>505</c:v>
                </c:pt>
                <c:pt idx="27">
                  <c:v>695</c:v>
                </c:pt>
                <c:pt idx="28">
                  <c:v>554</c:v>
                </c:pt>
                <c:pt idx="29">
                  <c:v>480</c:v>
                </c:pt>
                <c:pt idx="30">
                  <c:v>444</c:v>
                </c:pt>
                <c:pt idx="31">
                  <c:v>506</c:v>
                </c:pt>
                <c:pt idx="32">
                  <c:v>508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'Chiffres Inf respi'!$A$21</c:f>
              <c:strCache>
                <c:ptCount val="1"/>
                <c:pt idx="0">
                  <c:v>TAVANIC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respi'!$B$21:$AH$21</c:f>
              <c:numCache>
                <c:ptCount val="33"/>
                <c:pt idx="0">
                  <c:v>622</c:v>
                </c:pt>
                <c:pt idx="1">
                  <c:v>572</c:v>
                </c:pt>
                <c:pt idx="2">
                  <c:v>722</c:v>
                </c:pt>
                <c:pt idx="3">
                  <c:v>916</c:v>
                </c:pt>
                <c:pt idx="4">
                  <c:v>1086</c:v>
                </c:pt>
                <c:pt idx="5">
                  <c:v>1056</c:v>
                </c:pt>
                <c:pt idx="6">
                  <c:v>690</c:v>
                </c:pt>
                <c:pt idx="7">
                  <c:v>574</c:v>
                </c:pt>
                <c:pt idx="8">
                  <c:v>430</c:v>
                </c:pt>
                <c:pt idx="9">
                  <c:v>262</c:v>
                </c:pt>
                <c:pt idx="10">
                  <c:v>258</c:v>
                </c:pt>
                <c:pt idx="11">
                  <c:v>471</c:v>
                </c:pt>
                <c:pt idx="12">
                  <c:v>555</c:v>
                </c:pt>
                <c:pt idx="13">
                  <c:v>486</c:v>
                </c:pt>
                <c:pt idx="14">
                  <c:v>724</c:v>
                </c:pt>
                <c:pt idx="15">
                  <c:v>922</c:v>
                </c:pt>
                <c:pt idx="16">
                  <c:v>773</c:v>
                </c:pt>
                <c:pt idx="17">
                  <c:v>807</c:v>
                </c:pt>
                <c:pt idx="18">
                  <c:v>566</c:v>
                </c:pt>
                <c:pt idx="19">
                  <c:v>522</c:v>
                </c:pt>
                <c:pt idx="20">
                  <c:v>506</c:v>
                </c:pt>
                <c:pt idx="21">
                  <c:v>283</c:v>
                </c:pt>
                <c:pt idx="22">
                  <c:v>309</c:v>
                </c:pt>
                <c:pt idx="23">
                  <c:v>460</c:v>
                </c:pt>
                <c:pt idx="24">
                  <c:v>810</c:v>
                </c:pt>
                <c:pt idx="25">
                  <c:v>784</c:v>
                </c:pt>
                <c:pt idx="26">
                  <c:v>814</c:v>
                </c:pt>
                <c:pt idx="27">
                  <c:v>1432</c:v>
                </c:pt>
                <c:pt idx="28">
                  <c:v>1009</c:v>
                </c:pt>
                <c:pt idx="29">
                  <c:v>766</c:v>
                </c:pt>
                <c:pt idx="30">
                  <c:v>637</c:v>
                </c:pt>
                <c:pt idx="31">
                  <c:v>608</c:v>
                </c:pt>
                <c:pt idx="32">
                  <c:v>484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'Chiffres Inf respi'!$A$22</c:f>
              <c:strCache>
                <c:ptCount val="1"/>
                <c:pt idx="0">
                  <c:v>IZILOX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'Chiffres Inf respi'!$B$3:$AH$3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respi'!$B$22:$AH$22</c:f>
              <c:numCache>
                <c:ptCount val="33"/>
                <c:pt idx="0">
                  <c:v>754</c:v>
                </c:pt>
                <c:pt idx="1">
                  <c:v>860</c:v>
                </c:pt>
                <c:pt idx="2">
                  <c:v>1045</c:v>
                </c:pt>
                <c:pt idx="3">
                  <c:v>1055</c:v>
                </c:pt>
                <c:pt idx="4">
                  <c:v>1307</c:v>
                </c:pt>
                <c:pt idx="5">
                  <c:v>1288</c:v>
                </c:pt>
                <c:pt idx="6">
                  <c:v>797</c:v>
                </c:pt>
                <c:pt idx="7">
                  <c:v>678</c:v>
                </c:pt>
                <c:pt idx="8">
                  <c:v>445</c:v>
                </c:pt>
                <c:pt idx="9">
                  <c:v>275</c:v>
                </c:pt>
                <c:pt idx="10">
                  <c:v>246</c:v>
                </c:pt>
                <c:pt idx="11">
                  <c:v>483</c:v>
                </c:pt>
                <c:pt idx="12">
                  <c:v>777</c:v>
                </c:pt>
                <c:pt idx="13">
                  <c:v>625</c:v>
                </c:pt>
                <c:pt idx="14">
                  <c:v>841</c:v>
                </c:pt>
                <c:pt idx="15">
                  <c:v>925</c:v>
                </c:pt>
                <c:pt idx="16">
                  <c:v>1002</c:v>
                </c:pt>
                <c:pt idx="17">
                  <c:v>892</c:v>
                </c:pt>
                <c:pt idx="18">
                  <c:v>632</c:v>
                </c:pt>
                <c:pt idx="19">
                  <c:v>499</c:v>
                </c:pt>
                <c:pt idx="20">
                  <c:v>440</c:v>
                </c:pt>
                <c:pt idx="21">
                  <c:v>239</c:v>
                </c:pt>
                <c:pt idx="22">
                  <c:v>287</c:v>
                </c:pt>
                <c:pt idx="23">
                  <c:v>520</c:v>
                </c:pt>
                <c:pt idx="24">
                  <c:v>876</c:v>
                </c:pt>
                <c:pt idx="25">
                  <c:v>797</c:v>
                </c:pt>
                <c:pt idx="26">
                  <c:v>883</c:v>
                </c:pt>
                <c:pt idx="27">
                  <c:v>1404</c:v>
                </c:pt>
                <c:pt idx="28">
                  <c:v>1181</c:v>
                </c:pt>
                <c:pt idx="29">
                  <c:v>765</c:v>
                </c:pt>
                <c:pt idx="30">
                  <c:v>636</c:v>
                </c:pt>
                <c:pt idx="31">
                  <c:v>511</c:v>
                </c:pt>
                <c:pt idx="32">
                  <c:v>483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Nombres de 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At val="1"/>
        <c:crossBetween val="between"/>
        <c:dispUnits/>
        <c:majorUnit val="2000"/>
        <c:minorUnit val="1000"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139"/>
          <c:w val="0.2475"/>
          <c:h val="0.82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Evolution par classes (%)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75"/>
          <c:w val="0.710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'Chiffres Inf respi'!$A$50</c:f>
              <c:strCache>
                <c:ptCount val="1"/>
                <c:pt idx="0">
                  <c:v>C1G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respi'!$B$50:$AH$50</c:f>
              <c:numCache>
                <c:ptCount val="33"/>
                <c:pt idx="0">
                  <c:v>0.05322839538134935</c:v>
                </c:pt>
                <c:pt idx="1">
                  <c:v>0.052122607569434445</c:v>
                </c:pt>
                <c:pt idx="2">
                  <c:v>0.05045766064118486</c:v>
                </c:pt>
                <c:pt idx="3">
                  <c:v>0.052285837456120546</c:v>
                </c:pt>
                <c:pt idx="4">
                  <c:v>0.0518921120230562</c:v>
                </c:pt>
                <c:pt idx="5">
                  <c:v>0.04859759036144578</c:v>
                </c:pt>
                <c:pt idx="6">
                  <c:v>0.05017146265096169</c:v>
                </c:pt>
                <c:pt idx="7">
                  <c:v>0.044802285565872346</c:v>
                </c:pt>
                <c:pt idx="8">
                  <c:v>0.04431216931216931</c:v>
                </c:pt>
                <c:pt idx="9">
                  <c:v>0.04114881534236373</c:v>
                </c:pt>
                <c:pt idx="10">
                  <c:v>0.033130779392338175</c:v>
                </c:pt>
                <c:pt idx="11">
                  <c:v>0.04629477624191483</c:v>
                </c:pt>
                <c:pt idx="12">
                  <c:v>0.05071381794368042</c:v>
                </c:pt>
                <c:pt idx="13">
                  <c:v>0.049001707992225696</c:v>
                </c:pt>
                <c:pt idx="14">
                  <c:v>0.05403336288177935</c:v>
                </c:pt>
                <c:pt idx="15">
                  <c:v>0.04721340194897623</c:v>
                </c:pt>
                <c:pt idx="16">
                  <c:v>0.05461348618740546</c:v>
                </c:pt>
                <c:pt idx="17">
                  <c:v>0.05078266377126312</c:v>
                </c:pt>
                <c:pt idx="18">
                  <c:v>0.04829325058184639</c:v>
                </c:pt>
                <c:pt idx="19">
                  <c:v>0.03973794792045793</c:v>
                </c:pt>
                <c:pt idx="20">
                  <c:v>0.04106345555405222</c:v>
                </c:pt>
                <c:pt idx="21">
                  <c:v>0.03656680725248924</c:v>
                </c:pt>
                <c:pt idx="22">
                  <c:v>0.03354334901055994</c:v>
                </c:pt>
                <c:pt idx="23">
                  <c:v>0.04027441209597597</c:v>
                </c:pt>
                <c:pt idx="24">
                  <c:v>0.04532897463050785</c:v>
                </c:pt>
                <c:pt idx="25">
                  <c:v>0.040884913599195535</c:v>
                </c:pt>
                <c:pt idx="26">
                  <c:v>0.04754839298758218</c:v>
                </c:pt>
                <c:pt idx="27">
                  <c:v>0.042236869807440035</c:v>
                </c:pt>
                <c:pt idx="28">
                  <c:v>0.039239563075916466</c:v>
                </c:pt>
                <c:pt idx="29">
                  <c:v>0.03383378587020178</c:v>
                </c:pt>
                <c:pt idx="30">
                  <c:v>0.02661444210103445</c:v>
                </c:pt>
                <c:pt idx="31">
                  <c:v>0.029132023179642228</c:v>
                </c:pt>
                <c:pt idx="32">
                  <c:v>0.027988338192419825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respi'!$A$51</c:f>
              <c:strCache>
                <c:ptCount val="1"/>
                <c:pt idx="0">
                  <c:v>C2-C3G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respi'!$B$51:$AH$51</c:f>
              <c:numCache>
                <c:ptCount val="33"/>
                <c:pt idx="0">
                  <c:v>0.33159012064412574</c:v>
                </c:pt>
                <c:pt idx="1">
                  <c:v>0.32237732047776657</c:v>
                </c:pt>
                <c:pt idx="2">
                  <c:v>0.3309185410054735</c:v>
                </c:pt>
                <c:pt idx="3">
                  <c:v>0.3409356845195328</c:v>
                </c:pt>
                <c:pt idx="4">
                  <c:v>0.33885721446024686</c:v>
                </c:pt>
                <c:pt idx="5">
                  <c:v>0.3396048192771084</c:v>
                </c:pt>
                <c:pt idx="6">
                  <c:v>0.3455345161771284</c:v>
                </c:pt>
                <c:pt idx="7">
                  <c:v>0.32790078566326863</c:v>
                </c:pt>
                <c:pt idx="8">
                  <c:v>0.32497911445279865</c:v>
                </c:pt>
                <c:pt idx="9">
                  <c:v>0.30819717916492106</c:v>
                </c:pt>
                <c:pt idx="10">
                  <c:v>0.29669749009247026</c:v>
                </c:pt>
                <c:pt idx="11">
                  <c:v>0.30147420954132054</c:v>
                </c:pt>
                <c:pt idx="12">
                  <c:v>0.2960576293385724</c:v>
                </c:pt>
                <c:pt idx="13">
                  <c:v>0.2864715236468579</c:v>
                </c:pt>
                <c:pt idx="14">
                  <c:v>0.2991578692884197</c:v>
                </c:pt>
                <c:pt idx="15">
                  <c:v>0.3082229278440819</c:v>
                </c:pt>
                <c:pt idx="16">
                  <c:v>0.31633627895868166</c:v>
                </c:pt>
                <c:pt idx="17">
                  <c:v>0.311685667752443</c:v>
                </c:pt>
                <c:pt idx="18">
                  <c:v>0.3060234955114707</c:v>
                </c:pt>
                <c:pt idx="19">
                  <c:v>0.3024848625219204</c:v>
                </c:pt>
                <c:pt idx="20">
                  <c:v>0.2999594100933568</c:v>
                </c:pt>
                <c:pt idx="21">
                  <c:v>0.31397017261620075</c:v>
                </c:pt>
                <c:pt idx="22">
                  <c:v>0.30898926257875586</c:v>
                </c:pt>
                <c:pt idx="23">
                  <c:v>0.2967336769173009</c:v>
                </c:pt>
                <c:pt idx="24">
                  <c:v>0.29729729729729726</c:v>
                </c:pt>
                <c:pt idx="25">
                  <c:v>0.3057768133583847</c:v>
                </c:pt>
                <c:pt idx="26">
                  <c:v>0.3147826880934989</c:v>
                </c:pt>
                <c:pt idx="27">
                  <c:v>0.2949131131876852</c:v>
                </c:pt>
                <c:pt idx="28">
                  <c:v>0.27733047381908726</c:v>
                </c:pt>
                <c:pt idx="29">
                  <c:v>0.2698450726720971</c:v>
                </c:pt>
                <c:pt idx="30">
                  <c:v>0.26514010244049413</c:v>
                </c:pt>
                <c:pt idx="31">
                  <c:v>0.2601410934744268</c:v>
                </c:pt>
                <c:pt idx="32">
                  <c:v>0.26160178357057107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respi'!$A$52</c:f>
              <c:strCache>
                <c:ptCount val="1"/>
                <c:pt idx="0">
                  <c:v>Bêta-lactamines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respi'!$B$52:$AH$52</c:f>
              <c:numCache>
                <c:ptCount val="33"/>
                <c:pt idx="0">
                  <c:v>0.6584683891679181</c:v>
                </c:pt>
                <c:pt idx="1">
                  <c:v>0.6519211397323356</c:v>
                </c:pt>
                <c:pt idx="2">
                  <c:v>0.6523388988546984</c:v>
                </c:pt>
                <c:pt idx="3">
                  <c:v>0.6634573933036356</c:v>
                </c:pt>
                <c:pt idx="4">
                  <c:v>0.6607668692437817</c:v>
                </c:pt>
                <c:pt idx="5">
                  <c:v>0.6606072289156626</c:v>
                </c:pt>
                <c:pt idx="6">
                  <c:v>0.6774762685751206</c:v>
                </c:pt>
                <c:pt idx="7">
                  <c:v>0.6646970975910655</c:v>
                </c:pt>
                <c:pt idx="8">
                  <c:v>0.682261208576998</c:v>
                </c:pt>
                <c:pt idx="9">
                  <c:v>0.6857049760275566</c:v>
                </c:pt>
                <c:pt idx="10">
                  <c:v>0.6709114927344781</c:v>
                </c:pt>
                <c:pt idx="11">
                  <c:v>0.6593886462882096</c:v>
                </c:pt>
                <c:pt idx="12">
                  <c:v>0.6444269810085134</c:v>
                </c:pt>
                <c:pt idx="13">
                  <c:v>0.6676777195358974</c:v>
                </c:pt>
                <c:pt idx="14">
                  <c:v>0.6781972761705214</c:v>
                </c:pt>
                <c:pt idx="15">
                  <c:v>0.6658272199715318</c:v>
                </c:pt>
                <c:pt idx="16">
                  <c:v>0.6874850728445188</c:v>
                </c:pt>
                <c:pt idx="17">
                  <c:v>0.678791169019182</c:v>
                </c:pt>
                <c:pt idx="18">
                  <c:v>0.6880195057076361</c:v>
                </c:pt>
                <c:pt idx="19">
                  <c:v>0.6788207656420606</c:v>
                </c:pt>
                <c:pt idx="20">
                  <c:v>0.6828575294276824</c:v>
                </c:pt>
                <c:pt idx="21">
                  <c:v>0.7070742206182878</c:v>
                </c:pt>
                <c:pt idx="22">
                  <c:v>0.6961132309876652</c:v>
                </c:pt>
                <c:pt idx="23">
                  <c:v>0.6758251134851019</c:v>
                </c:pt>
                <c:pt idx="24">
                  <c:v>0.6629909296008103</c:v>
                </c:pt>
                <c:pt idx="25">
                  <c:v>0.6668607266664902</c:v>
                </c:pt>
                <c:pt idx="26">
                  <c:v>0.6861303871439007</c:v>
                </c:pt>
                <c:pt idx="27">
                  <c:v>0.6987384002461657</c:v>
                </c:pt>
                <c:pt idx="28">
                  <c:v>0.7270133221860744</c:v>
                </c:pt>
                <c:pt idx="29">
                  <c:v>0.7387797476441463</c:v>
                </c:pt>
                <c:pt idx="30">
                  <c:v>0.7441331056877909</c:v>
                </c:pt>
                <c:pt idx="31">
                  <c:v>0.7559838750314941</c:v>
                </c:pt>
                <c:pt idx="32">
                  <c:v>0.7507460126907906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respi'!$A$53</c:f>
              <c:strCache>
                <c:ptCount val="1"/>
                <c:pt idx="0">
                  <c:v>Macrolides et apparentés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respi'!$B$53:$AH$53</c:f>
              <c:numCache>
                <c:ptCount val="33"/>
                <c:pt idx="0">
                  <c:v>0.2924713923264122</c:v>
                </c:pt>
                <c:pt idx="1">
                  <c:v>0.292675205065477</c:v>
                </c:pt>
                <c:pt idx="2">
                  <c:v>0.29511062048663816</c:v>
                </c:pt>
                <c:pt idx="3">
                  <c:v>0.2854884733028144</c:v>
                </c:pt>
                <c:pt idx="4">
                  <c:v>0.29435812292462876</c:v>
                </c:pt>
                <c:pt idx="5">
                  <c:v>0.2835084337349397</c:v>
                </c:pt>
                <c:pt idx="6">
                  <c:v>0.2729486606033497</c:v>
                </c:pt>
                <c:pt idx="7">
                  <c:v>0.27907278748133235</c:v>
                </c:pt>
                <c:pt idx="8">
                  <c:v>0.2730437204121414</c:v>
                </c:pt>
                <c:pt idx="9">
                  <c:v>0.2701671088767863</c:v>
                </c:pt>
                <c:pt idx="10">
                  <c:v>0.27630118890356675</c:v>
                </c:pt>
                <c:pt idx="11">
                  <c:v>0.2925107528646945</c:v>
                </c:pt>
                <c:pt idx="12">
                  <c:v>0.30622134905042564</c:v>
                </c:pt>
                <c:pt idx="13">
                  <c:v>0.2837622945992108</c:v>
                </c:pt>
                <c:pt idx="14">
                  <c:v>0.2794544282375695</c:v>
                </c:pt>
                <c:pt idx="15">
                  <c:v>0.2800613161064272</c:v>
                </c:pt>
                <c:pt idx="16">
                  <c:v>0.2670567629965767</c:v>
                </c:pt>
                <c:pt idx="17">
                  <c:v>0.2692272891784293</c:v>
                </c:pt>
                <c:pt idx="18">
                  <c:v>0.2667627174997229</c:v>
                </c:pt>
                <c:pt idx="19">
                  <c:v>0.26939747874135594</c:v>
                </c:pt>
                <c:pt idx="20">
                  <c:v>0.26921255581112163</c:v>
                </c:pt>
                <c:pt idx="21">
                  <c:v>0.25201095699813036</c:v>
                </c:pt>
                <c:pt idx="22">
                  <c:v>0.25565711243233646</c:v>
                </c:pt>
                <c:pt idx="23">
                  <c:v>0.271715758217004</c:v>
                </c:pt>
                <c:pt idx="24">
                  <c:v>0.2845665085869515</c:v>
                </c:pt>
                <c:pt idx="25">
                  <c:v>0.2767207388393448</c:v>
                </c:pt>
                <c:pt idx="26">
                  <c:v>0.26360482103725347</c:v>
                </c:pt>
                <c:pt idx="27">
                  <c:v>0.24407663530211993</c:v>
                </c:pt>
                <c:pt idx="28">
                  <c:v>0.22311481070863853</c:v>
                </c:pt>
                <c:pt idx="29">
                  <c:v>0.2076878028004046</c:v>
                </c:pt>
                <c:pt idx="30">
                  <c:v>0.1983863948311071</c:v>
                </c:pt>
                <c:pt idx="31">
                  <c:v>0.19283824640967498</c:v>
                </c:pt>
                <c:pt idx="32">
                  <c:v>0.19866232207168583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'Chiffres Inf respi'!$A$54</c:f>
              <c:strCache>
                <c:ptCount val="1"/>
                <c:pt idx="0">
                  <c:v>Fluoroquinolones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respi'!$B$54:$AH$54</c:f>
              <c:numCache>
                <c:ptCount val="33"/>
                <c:pt idx="0">
                  <c:v>0.04906021850566976</c:v>
                </c:pt>
                <c:pt idx="1">
                  <c:v>0.05540365520218737</c:v>
                </c:pt>
                <c:pt idx="2">
                  <c:v>0.05255048065866336</c:v>
                </c:pt>
                <c:pt idx="3">
                  <c:v>0.05105413339354997</c:v>
                </c:pt>
                <c:pt idx="4">
                  <c:v>0.0448750078315895</c:v>
                </c:pt>
                <c:pt idx="5">
                  <c:v>0.055884337349397586</c:v>
                </c:pt>
                <c:pt idx="6">
                  <c:v>0.049575070821529746</c:v>
                </c:pt>
                <c:pt idx="7">
                  <c:v>0.056230114927602104</c:v>
                </c:pt>
                <c:pt idx="8">
                  <c:v>0.04469507101086048</c:v>
                </c:pt>
                <c:pt idx="9">
                  <c:v>0.044127915095657035</c:v>
                </c:pt>
                <c:pt idx="10">
                  <c:v>0.05278731836195509</c:v>
                </c:pt>
                <c:pt idx="11">
                  <c:v>0.04810060084709591</c:v>
                </c:pt>
                <c:pt idx="12">
                  <c:v>0.04935166994106091</c:v>
                </c:pt>
                <c:pt idx="13">
                  <c:v>0.04855998586489192</c:v>
                </c:pt>
                <c:pt idx="14">
                  <c:v>0.0423482955919091</c:v>
                </c:pt>
                <c:pt idx="15">
                  <c:v>0.054111463922040956</c:v>
                </c:pt>
                <c:pt idx="16">
                  <c:v>0.045458164158904545</c:v>
                </c:pt>
                <c:pt idx="17">
                  <c:v>0.0519815418023887</c:v>
                </c:pt>
                <c:pt idx="18">
                  <c:v>0.04521777679264102</c:v>
                </c:pt>
                <c:pt idx="19">
                  <c:v>0.051781755616583394</c:v>
                </c:pt>
                <c:pt idx="20">
                  <c:v>0.047929914761196055</c:v>
                </c:pt>
                <c:pt idx="21">
                  <c:v>0.0409148223835819</c:v>
                </c:pt>
                <c:pt idx="22">
                  <c:v>0.048229656579998226</c:v>
                </c:pt>
                <c:pt idx="23">
                  <c:v>0.05245912829789413</c:v>
                </c:pt>
                <c:pt idx="24">
                  <c:v>0.05244256181223812</c:v>
                </c:pt>
                <c:pt idx="25">
                  <c:v>0.056418534494164965</c:v>
                </c:pt>
                <c:pt idx="26">
                  <c:v>0.050264791818845876</c:v>
                </c:pt>
                <c:pt idx="27">
                  <c:v>0.057184964451714254</c:v>
                </c:pt>
                <c:pt idx="28">
                  <c:v>0.04987186710528707</c:v>
                </c:pt>
                <c:pt idx="29">
                  <c:v>0.05353244955544908</c:v>
                </c:pt>
                <c:pt idx="30">
                  <c:v>0.05748049948110207</c:v>
                </c:pt>
                <c:pt idx="31">
                  <c:v>0.05117787855883094</c:v>
                </c:pt>
                <c:pt idx="32">
                  <c:v>0.05059166523752358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'Chiffres Inf respi'!$A$55</c:f>
              <c:strCache>
                <c:ptCount val="1"/>
                <c:pt idx="0">
                  <c:v>ATB 1ère intention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respi'!$B$55:$AH$55</c:f>
              <c:numCache>
                <c:ptCount val="33"/>
                <c:pt idx="0">
                  <c:v>0.27364987314244293</c:v>
                </c:pt>
                <c:pt idx="1">
                  <c:v>0.27742121168513456</c:v>
                </c:pt>
                <c:pt idx="2">
                  <c:v>0.2709626972080401</c:v>
                </c:pt>
                <c:pt idx="3">
                  <c:v>0.27023587132798227</c:v>
                </c:pt>
                <c:pt idx="4">
                  <c:v>0.2700175427604787</c:v>
                </c:pt>
                <c:pt idx="5">
                  <c:v>0.27240481927710847</c:v>
                </c:pt>
                <c:pt idx="6">
                  <c:v>0.28177028974703044</c:v>
                </c:pt>
                <c:pt idx="7">
                  <c:v>0.29199402636192456</c:v>
                </c:pt>
                <c:pt idx="8">
                  <c:v>0.3129699248120301</c:v>
                </c:pt>
                <c:pt idx="9">
                  <c:v>0.3363589815202719</c:v>
                </c:pt>
                <c:pt idx="10">
                  <c:v>0.3410832232496698</c:v>
                </c:pt>
                <c:pt idx="11">
                  <c:v>0.31161966050497425</c:v>
                </c:pt>
                <c:pt idx="12">
                  <c:v>0.29765553372626063</c:v>
                </c:pt>
                <c:pt idx="13">
                  <c:v>0.33220448789681367</c:v>
                </c:pt>
                <c:pt idx="14">
                  <c:v>0.32500604400032235</c:v>
                </c:pt>
                <c:pt idx="15">
                  <c:v>0.31039089017847366</c:v>
                </c:pt>
                <c:pt idx="16">
                  <c:v>0.31653530769843163</c:v>
                </c:pt>
                <c:pt idx="17">
                  <c:v>0.31632283749547596</c:v>
                </c:pt>
                <c:pt idx="18">
                  <c:v>0.33370275961431894</c:v>
                </c:pt>
                <c:pt idx="19">
                  <c:v>0.3365979551996824</c:v>
                </c:pt>
                <c:pt idx="20">
                  <c:v>0.3418346637802733</c:v>
                </c:pt>
                <c:pt idx="21">
                  <c:v>0.3565372407495978</c:v>
                </c:pt>
                <c:pt idx="22">
                  <c:v>0.35358061939834945</c:v>
                </c:pt>
                <c:pt idx="23">
                  <c:v>0.338817024471825</c:v>
                </c:pt>
                <c:pt idx="24">
                  <c:v>0.3203646576730052</c:v>
                </c:pt>
                <c:pt idx="25">
                  <c:v>0.32019899970890997</c:v>
                </c:pt>
                <c:pt idx="26">
                  <c:v>0.3237993060628196</c:v>
                </c:pt>
                <c:pt idx="27">
                  <c:v>0.3615884172510405</c:v>
                </c:pt>
                <c:pt idx="28">
                  <c:v>0.41044328529107066</c:v>
                </c:pt>
                <c:pt idx="29">
                  <c:v>0.4351008891018474</c:v>
                </c:pt>
                <c:pt idx="30">
                  <c:v>0.4523785611462623</c:v>
                </c:pt>
                <c:pt idx="31">
                  <c:v>0.46671075837742504</c:v>
                </c:pt>
                <c:pt idx="32">
                  <c:v>0.4611558909277997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'Chiffres Inf respi'!$A$56</c:f>
              <c:strCache>
                <c:ptCount val="1"/>
                <c:pt idx="0">
                  <c:v>ATB 2ème intention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'Chiffres Inf respi'!$B$49:$AH$49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respi'!$B$56:$AH$56</c:f>
              <c:numCache>
                <c:ptCount val="33"/>
                <c:pt idx="0">
                  <c:v>0.7263501268575572</c:v>
                </c:pt>
                <c:pt idx="1">
                  <c:v>0.7225787883148654</c:v>
                </c:pt>
                <c:pt idx="2">
                  <c:v>0.7290373027919599</c:v>
                </c:pt>
                <c:pt idx="3">
                  <c:v>0.7297641286720178</c:v>
                </c:pt>
                <c:pt idx="4">
                  <c:v>0.7299824572395214</c:v>
                </c:pt>
                <c:pt idx="5">
                  <c:v>0.7275951807228915</c:v>
                </c:pt>
                <c:pt idx="6">
                  <c:v>0.7182297102529694</c:v>
                </c:pt>
                <c:pt idx="7">
                  <c:v>0.7080059736380755</c:v>
                </c:pt>
                <c:pt idx="8">
                  <c:v>0.68703007518797</c:v>
                </c:pt>
                <c:pt idx="9">
                  <c:v>0.6636410184797281</c:v>
                </c:pt>
                <c:pt idx="10">
                  <c:v>0.6589167767503302</c:v>
                </c:pt>
                <c:pt idx="11">
                  <c:v>0.6883803394950258</c:v>
                </c:pt>
                <c:pt idx="12">
                  <c:v>0.7023444662737394</c:v>
                </c:pt>
                <c:pt idx="13">
                  <c:v>0.6677955121031862</c:v>
                </c:pt>
                <c:pt idx="14">
                  <c:v>0.6749939559996777</c:v>
                </c:pt>
                <c:pt idx="15">
                  <c:v>0.6896091098215262</c:v>
                </c:pt>
                <c:pt idx="16">
                  <c:v>0.6834646923015684</c:v>
                </c:pt>
                <c:pt idx="17">
                  <c:v>0.683677162504524</c:v>
                </c:pt>
                <c:pt idx="18">
                  <c:v>0.6662972403856812</c:v>
                </c:pt>
                <c:pt idx="19">
                  <c:v>0.6634020448003176</c:v>
                </c:pt>
                <c:pt idx="20">
                  <c:v>0.6581653362197267</c:v>
                </c:pt>
                <c:pt idx="21">
                  <c:v>0.6434627592504022</c:v>
                </c:pt>
                <c:pt idx="22">
                  <c:v>0.6464193806016506</c:v>
                </c:pt>
                <c:pt idx="23">
                  <c:v>0.661182975528175</c:v>
                </c:pt>
                <c:pt idx="24">
                  <c:v>0.6796353423269949</c:v>
                </c:pt>
                <c:pt idx="25">
                  <c:v>0.67980100029109</c:v>
                </c:pt>
                <c:pt idx="26">
                  <c:v>0.6762006939371804</c:v>
                </c:pt>
                <c:pt idx="27">
                  <c:v>0.6384115827489596</c:v>
                </c:pt>
                <c:pt idx="28">
                  <c:v>0.5895567147089293</c:v>
                </c:pt>
                <c:pt idx="29">
                  <c:v>0.5648991108981527</c:v>
                </c:pt>
                <c:pt idx="30">
                  <c:v>0.5476214388537377</c:v>
                </c:pt>
                <c:pt idx="31">
                  <c:v>0.533289241622575</c:v>
                </c:pt>
                <c:pt idx="32">
                  <c:v>0.5388441090722003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Montant remboursé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285"/>
          <c:w val="0.23875"/>
          <c:h val="0.8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(%) - Infections cutanéo muqueuses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'Chiffres Inf Cutanées'!$A$12</c:f>
              <c:strCache>
                <c:ptCount val="1"/>
                <c:pt idx="0">
                  <c:v>ORBENINE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Cutanées'!$B$12:$AH$12</c:f>
              <c:numCache>
                <c:ptCount val="33"/>
                <c:pt idx="0">
                  <c:v>0.14281045751633986</c:v>
                </c:pt>
                <c:pt idx="1">
                  <c:v>0.14063066328379847</c:v>
                </c:pt>
                <c:pt idx="2">
                  <c:v>0.13284518828451883</c:v>
                </c:pt>
                <c:pt idx="3">
                  <c:v>0.11359782977280435</c:v>
                </c:pt>
                <c:pt idx="4">
                  <c:v>0.09492803289924606</c:v>
                </c:pt>
                <c:pt idx="5">
                  <c:v>0.11930724823604875</c:v>
                </c:pt>
                <c:pt idx="6">
                  <c:v>0.14448804851944344</c:v>
                </c:pt>
                <c:pt idx="7">
                  <c:v>0.15332834704562454</c:v>
                </c:pt>
                <c:pt idx="8">
                  <c:v>0.19056068133427964</c:v>
                </c:pt>
                <c:pt idx="9">
                  <c:v>0.19474230370114148</c:v>
                </c:pt>
                <c:pt idx="10">
                  <c:v>0.19223590892123926</c:v>
                </c:pt>
                <c:pt idx="11">
                  <c:v>0.17547770700636942</c:v>
                </c:pt>
                <c:pt idx="12">
                  <c:v>0.17305734645402104</c:v>
                </c:pt>
                <c:pt idx="13">
                  <c:v>0.19426048565121412</c:v>
                </c:pt>
                <c:pt idx="14">
                  <c:v>0.16096</c:v>
                </c:pt>
                <c:pt idx="15">
                  <c:v>0.13415468856947296</c:v>
                </c:pt>
                <c:pt idx="16">
                  <c:v>0.13344827586206898</c:v>
                </c:pt>
                <c:pt idx="17">
                  <c:v>0.14996746909564085</c:v>
                </c:pt>
                <c:pt idx="18">
                  <c:v>0.16408794788273615</c:v>
                </c:pt>
                <c:pt idx="19">
                  <c:v>0.16805807622504537</c:v>
                </c:pt>
                <c:pt idx="20">
                  <c:v>0.1868720696584059</c:v>
                </c:pt>
                <c:pt idx="21">
                  <c:v>0.19377606673083092</c:v>
                </c:pt>
                <c:pt idx="22">
                  <c:v>0.1646063760572544</c:v>
                </c:pt>
                <c:pt idx="23">
                  <c:v>0.17680973734785393</c:v>
                </c:pt>
                <c:pt idx="24">
                  <c:v>0.16862514688601646</c:v>
                </c:pt>
                <c:pt idx="25">
                  <c:v>0.14968045745038683</c:v>
                </c:pt>
                <c:pt idx="26">
                  <c:v>0.15610113594723343</c:v>
                </c:pt>
                <c:pt idx="27">
                  <c:v>0.11759556463379049</c:v>
                </c:pt>
                <c:pt idx="28">
                  <c:v>0.11874559548978153</c:v>
                </c:pt>
                <c:pt idx="29">
                  <c:v>0.16222062004325882</c:v>
                </c:pt>
                <c:pt idx="30">
                  <c:v>0.15476681799422204</c:v>
                </c:pt>
                <c:pt idx="31">
                  <c:v>0.18161518422032005</c:v>
                </c:pt>
                <c:pt idx="32">
                  <c:v>0.18421967327076816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'Chiffres Inf Cutanées'!$A$13</c:f>
              <c:strCache>
                <c:ptCount val="1"/>
                <c:pt idx="0">
                  <c:v>BRISTOPEN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Cutanées'!$B$13:$AH$13</c:f>
              <c:numCache>
                <c:ptCount val="33"/>
                <c:pt idx="0">
                  <c:v>0.08954248366013072</c:v>
                </c:pt>
                <c:pt idx="1">
                  <c:v>0.08481333816600217</c:v>
                </c:pt>
                <c:pt idx="2">
                  <c:v>0.07810320781032078</c:v>
                </c:pt>
                <c:pt idx="3">
                  <c:v>0.0671414038657172</c:v>
                </c:pt>
                <c:pt idx="4">
                  <c:v>0.05962988348183688</c:v>
                </c:pt>
                <c:pt idx="5">
                  <c:v>0.07472738935214882</c:v>
                </c:pt>
                <c:pt idx="6">
                  <c:v>0.07813057438458794</c:v>
                </c:pt>
                <c:pt idx="7">
                  <c:v>0.08900523560209424</c:v>
                </c:pt>
                <c:pt idx="8">
                  <c:v>0.09013484740951029</c:v>
                </c:pt>
                <c:pt idx="9">
                  <c:v>0.10826703562781044</c:v>
                </c:pt>
                <c:pt idx="10">
                  <c:v>0.10787607316162748</c:v>
                </c:pt>
                <c:pt idx="11">
                  <c:v>0.09968152866242039</c:v>
                </c:pt>
                <c:pt idx="12">
                  <c:v>0.06345436036647438</c:v>
                </c:pt>
                <c:pt idx="13">
                  <c:v>0.0728476821192053</c:v>
                </c:pt>
                <c:pt idx="14">
                  <c:v>0.07072</c:v>
                </c:pt>
                <c:pt idx="15">
                  <c:v>0.07084188911704312</c:v>
                </c:pt>
                <c:pt idx="16">
                  <c:v>0.07103448275862069</c:v>
                </c:pt>
                <c:pt idx="17">
                  <c:v>0.09661678594664931</c:v>
                </c:pt>
                <c:pt idx="18">
                  <c:v>0.08794788273615635</c:v>
                </c:pt>
                <c:pt idx="19">
                  <c:v>0.10018148820326679</c:v>
                </c:pt>
                <c:pt idx="20">
                  <c:v>0.10515740120562625</c:v>
                </c:pt>
                <c:pt idx="21">
                  <c:v>0.1126082771896054</c:v>
                </c:pt>
                <c:pt idx="22">
                  <c:v>0.12979830839297332</c:v>
                </c:pt>
                <c:pt idx="23">
                  <c:v>0.09224855861627163</c:v>
                </c:pt>
                <c:pt idx="24">
                  <c:v>0.07373678025851939</c:v>
                </c:pt>
                <c:pt idx="25">
                  <c:v>0.07669021190716448</c:v>
                </c:pt>
                <c:pt idx="26">
                  <c:v>0.07401978746793697</c:v>
                </c:pt>
                <c:pt idx="27">
                  <c:v>0.07032389845345784</c:v>
                </c:pt>
                <c:pt idx="28">
                  <c:v>0.060958421423537704</c:v>
                </c:pt>
                <c:pt idx="29">
                  <c:v>0.07894736842105263</c:v>
                </c:pt>
                <c:pt idx="30">
                  <c:v>0.0780024762690879</c:v>
                </c:pt>
                <c:pt idx="31">
                  <c:v>0.10494975809452921</c:v>
                </c:pt>
                <c:pt idx="32">
                  <c:v>0.10427528675703858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'Chiffres Inf Cutanées'!$A$14</c:f>
              <c:strCache>
                <c:ptCount val="1"/>
                <c:pt idx="0">
                  <c:v>PYOSTACINE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Cutanées'!$B$14:$AH$14</c:f>
              <c:numCache>
                <c:ptCount val="33"/>
                <c:pt idx="0">
                  <c:v>0.5055555555555555</c:v>
                </c:pt>
                <c:pt idx="1">
                  <c:v>0.5212033345415006</c:v>
                </c:pt>
                <c:pt idx="2">
                  <c:v>0.5868200836820083</c:v>
                </c:pt>
                <c:pt idx="3">
                  <c:v>0.6025771447948457</c:v>
                </c:pt>
                <c:pt idx="4">
                  <c:v>0.67854694996573</c:v>
                </c:pt>
                <c:pt idx="5">
                  <c:v>0.6013470173187941</c:v>
                </c:pt>
                <c:pt idx="6">
                  <c:v>0.5576168391009633</c:v>
                </c:pt>
                <c:pt idx="7">
                  <c:v>0.5160807778608826</c:v>
                </c:pt>
                <c:pt idx="8">
                  <c:v>0.45848119233498935</c:v>
                </c:pt>
                <c:pt idx="9">
                  <c:v>0.42476651677620203</c:v>
                </c:pt>
                <c:pt idx="10">
                  <c:v>0.4412094064949608</c:v>
                </c:pt>
                <c:pt idx="11">
                  <c:v>0.46878980891719746</c:v>
                </c:pt>
                <c:pt idx="12">
                  <c:v>0.5537835086528673</c:v>
                </c:pt>
                <c:pt idx="13">
                  <c:v>0.5147167034584254</c:v>
                </c:pt>
                <c:pt idx="14">
                  <c:v>0.59616</c:v>
                </c:pt>
                <c:pt idx="15">
                  <c:v>0.6252566735112937</c:v>
                </c:pt>
                <c:pt idx="16">
                  <c:v>0.6168965517241379</c:v>
                </c:pt>
                <c:pt idx="17">
                  <c:v>0.5452179570592063</c:v>
                </c:pt>
                <c:pt idx="18">
                  <c:v>0.5191368078175895</c:v>
                </c:pt>
                <c:pt idx="19">
                  <c:v>0.5099818511796733</c:v>
                </c:pt>
                <c:pt idx="20">
                  <c:v>0.46651038178164767</c:v>
                </c:pt>
                <c:pt idx="21">
                  <c:v>0.41803015720243825</c:v>
                </c:pt>
                <c:pt idx="22">
                  <c:v>0.43331164606376055</c:v>
                </c:pt>
                <c:pt idx="23">
                  <c:v>0.4791800128122998</c:v>
                </c:pt>
                <c:pt idx="24">
                  <c:v>0.5390716803760282</c:v>
                </c:pt>
                <c:pt idx="25">
                  <c:v>0.5553313151698621</c:v>
                </c:pt>
                <c:pt idx="26">
                  <c:v>0.5793330890436057</c:v>
                </c:pt>
                <c:pt idx="27">
                  <c:v>0.6515903122264372</c:v>
                </c:pt>
                <c:pt idx="28">
                  <c:v>0.6585623678646935</c:v>
                </c:pt>
                <c:pt idx="29">
                  <c:v>0.5656092285508292</c:v>
                </c:pt>
                <c:pt idx="30">
                  <c:v>0.5484936029715229</c:v>
                </c:pt>
                <c:pt idx="31">
                  <c:v>0.5176777074804615</c:v>
                </c:pt>
                <c:pt idx="32">
                  <c:v>0.48175182481751827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'Chiffres Inf Cutanées'!$A$15</c:f>
              <c:strCache>
                <c:ptCount val="1"/>
                <c:pt idx="0">
                  <c:v>FUCIDINE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'Chiffres Inf Cutanées'!$B$11:$AH$11</c:f>
              <c:strCache>
                <c:ptCount val="33"/>
                <c:pt idx="0">
                  <c:v>10/04</c:v>
                </c:pt>
                <c:pt idx="1">
                  <c:v>11/04</c:v>
                </c:pt>
                <c:pt idx="2">
                  <c:v>12/04</c:v>
                </c:pt>
                <c:pt idx="3">
                  <c:v>01/05</c:v>
                </c:pt>
                <c:pt idx="4">
                  <c:v>02/05</c:v>
                </c:pt>
                <c:pt idx="5">
                  <c:v>03/05</c:v>
                </c:pt>
                <c:pt idx="6">
                  <c:v>04/05</c:v>
                </c:pt>
                <c:pt idx="7">
                  <c:v>05/05</c:v>
                </c:pt>
                <c:pt idx="8">
                  <c:v>06/05</c:v>
                </c:pt>
                <c:pt idx="9">
                  <c:v>07/05</c:v>
                </c:pt>
                <c:pt idx="10">
                  <c:v>08/05</c:v>
                </c:pt>
                <c:pt idx="11">
                  <c:v>09/05</c:v>
                </c:pt>
                <c:pt idx="12">
                  <c:v>10/05</c:v>
                </c:pt>
                <c:pt idx="13">
                  <c:v>11/05</c:v>
                </c:pt>
                <c:pt idx="14">
                  <c:v>12/05</c:v>
                </c:pt>
                <c:pt idx="15">
                  <c:v>01/06</c:v>
                </c:pt>
                <c:pt idx="16">
                  <c:v>02/06</c:v>
                </c:pt>
                <c:pt idx="17">
                  <c:v>03/06</c:v>
                </c:pt>
                <c:pt idx="18">
                  <c:v>04/06</c:v>
                </c:pt>
                <c:pt idx="19">
                  <c:v>05/06</c:v>
                </c:pt>
                <c:pt idx="20">
                  <c:v>06/06</c:v>
                </c:pt>
                <c:pt idx="21">
                  <c:v>07/06</c:v>
                </c:pt>
                <c:pt idx="22">
                  <c:v>08/06</c:v>
                </c:pt>
                <c:pt idx="23">
                  <c:v>09/06</c:v>
                </c:pt>
                <c:pt idx="24">
                  <c:v>10/06</c:v>
                </c:pt>
                <c:pt idx="25">
                  <c:v>11/06</c:v>
                </c:pt>
                <c:pt idx="26">
                  <c:v>12/06</c:v>
                </c:pt>
                <c:pt idx="27">
                  <c:v>01/07</c:v>
                </c:pt>
                <c:pt idx="28">
                  <c:v>02/07</c:v>
                </c:pt>
                <c:pt idx="29">
                  <c:v>03/07</c:v>
                </c:pt>
                <c:pt idx="30">
                  <c:v>04/07</c:v>
                </c:pt>
                <c:pt idx="31">
                  <c:v>05/07</c:v>
                </c:pt>
                <c:pt idx="32">
                  <c:v>06/07</c:v>
                </c:pt>
              </c:strCache>
            </c:strRef>
          </c:cat>
          <c:val>
            <c:numRef>
              <c:f>'Chiffres Inf Cutanées'!$B$15:$AH$15</c:f>
              <c:numCache>
                <c:ptCount val="33"/>
                <c:pt idx="0">
                  <c:v>0.26209150326797387</c:v>
                </c:pt>
                <c:pt idx="1">
                  <c:v>0.2533526640086988</c:v>
                </c:pt>
                <c:pt idx="2">
                  <c:v>0.20223152022315202</c:v>
                </c:pt>
                <c:pt idx="3">
                  <c:v>0.21668362156663276</c:v>
                </c:pt>
                <c:pt idx="4">
                  <c:v>0.16689513365318712</c:v>
                </c:pt>
                <c:pt idx="5">
                  <c:v>0.20461834509300833</c:v>
                </c:pt>
                <c:pt idx="6">
                  <c:v>0.21976453799500534</c:v>
                </c:pt>
                <c:pt idx="7">
                  <c:v>0.24158563949139866</c:v>
                </c:pt>
                <c:pt idx="8">
                  <c:v>0.2608232789212207</c:v>
                </c:pt>
                <c:pt idx="9">
                  <c:v>0.27222414389484606</c:v>
                </c:pt>
                <c:pt idx="10">
                  <c:v>0.25867861142217247</c:v>
                </c:pt>
                <c:pt idx="11">
                  <c:v>0.25605095541401274</c:v>
                </c:pt>
                <c:pt idx="12">
                  <c:v>0.20970478452663727</c:v>
                </c:pt>
                <c:pt idx="13">
                  <c:v>0.21817512877115527</c:v>
                </c:pt>
                <c:pt idx="14">
                  <c:v>0.17216</c:v>
                </c:pt>
                <c:pt idx="15">
                  <c:v>0.1697467488021903</c:v>
                </c:pt>
                <c:pt idx="16">
                  <c:v>0.17862068965517242</c:v>
                </c:pt>
                <c:pt idx="17">
                  <c:v>0.20819778789850357</c:v>
                </c:pt>
                <c:pt idx="18">
                  <c:v>0.2288273615635179</c:v>
                </c:pt>
                <c:pt idx="19">
                  <c:v>0.22177858439201453</c:v>
                </c:pt>
                <c:pt idx="20">
                  <c:v>0.24146014735432017</c:v>
                </c:pt>
                <c:pt idx="21">
                  <c:v>0.27558549887712547</c:v>
                </c:pt>
                <c:pt idx="22">
                  <c:v>0.27228366948601174</c:v>
                </c:pt>
                <c:pt idx="23">
                  <c:v>0.2517616912235746</c:v>
                </c:pt>
                <c:pt idx="24">
                  <c:v>0.21856639247943596</c:v>
                </c:pt>
                <c:pt idx="25">
                  <c:v>0.21829801547258662</c:v>
                </c:pt>
                <c:pt idx="26">
                  <c:v>0.1905459875412239</c:v>
                </c:pt>
                <c:pt idx="27">
                  <c:v>0.16049022468631455</c:v>
                </c:pt>
                <c:pt idx="28">
                  <c:v>0.16173361522198731</c:v>
                </c:pt>
                <c:pt idx="29">
                  <c:v>0.1932227829848594</c:v>
                </c:pt>
                <c:pt idx="30">
                  <c:v>0.21873710276516714</c:v>
                </c:pt>
                <c:pt idx="31">
                  <c:v>0.19575735020468923</c:v>
                </c:pt>
                <c:pt idx="32">
                  <c:v>0.229753215154675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46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0.30775</cdr:y>
    </cdr:from>
    <cdr:to>
      <cdr:x>0.5855</cdr:x>
      <cdr:y>0.88</cdr:y>
    </cdr:to>
    <cdr:sp>
      <cdr:nvSpPr>
        <cdr:cNvPr id="1" name="Line 14"/>
        <cdr:cNvSpPr>
          <a:spLocks/>
        </cdr:cNvSpPr>
      </cdr:nvSpPr>
      <cdr:spPr>
        <a:xfrm flipV="1">
          <a:off x="5400675" y="1762125"/>
          <a:ext cx="0" cy="3295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0.0725</cdr:y>
    </cdr:from>
    <cdr:to>
      <cdr:x>0.995</cdr:x>
      <cdr:y>0.131</cdr:y>
    </cdr:to>
    <cdr:sp>
      <cdr:nvSpPr>
        <cdr:cNvPr id="2" name="TextBox 1"/>
        <cdr:cNvSpPr txBox="1">
          <a:spLocks noChangeArrowheads="1"/>
        </cdr:cNvSpPr>
      </cdr:nvSpPr>
      <cdr:spPr>
        <a:xfrm>
          <a:off x="828675" y="409575"/>
          <a:ext cx="836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- 822 médecins visités entre le 05/12/06 et le 15/04/07 - juin 07</a:t>
          </a:r>
        </a:p>
      </cdr:txBody>
    </cdr:sp>
  </cdr:relSizeAnchor>
  <cdr:relSizeAnchor xmlns:cdr="http://schemas.openxmlformats.org/drawingml/2006/chartDrawing">
    <cdr:from>
      <cdr:x>0.10525</cdr:x>
      <cdr:y>0.118</cdr:y>
    </cdr:from>
    <cdr:to>
      <cdr:x>0.72425</cdr:x>
      <cdr:y>0.30775</cdr:y>
    </cdr:to>
    <cdr:sp>
      <cdr:nvSpPr>
        <cdr:cNvPr id="3" name="TextBox 11"/>
        <cdr:cNvSpPr txBox="1">
          <a:spLocks noChangeArrowheads="1"/>
        </cdr:cNvSpPr>
      </cdr:nvSpPr>
      <cdr:spPr>
        <a:xfrm>
          <a:off x="971550" y="676275"/>
          <a:ext cx="571500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Chez 822 médecins visités entre le 5 décembre 2006 et le 15 avril 2007 (1.124 visites), la prescription d'amoxicilline bondit de +59%, passant de  17,7% en novembre 2006 à 28,1% en juin 2007 des patients traités par antibiotiques. L'association amoxicilline + acide clavulanique progresse elle aussi fortement (+25%). Inversement, les autres antibiotiques, plus coûteux voient leur prescription chuter : ORELOX® (-15%), NAXY®/ZECLAR® (-33%), ZITHROMAX® (-23%), KETEK® (-77%) et ZINNAT® (-28%). Ces niveaux sont sans précédent depuis des années.</a:t>
          </a:r>
        </a:p>
      </cdr:txBody>
    </cdr:sp>
  </cdr:relSizeAnchor>
  <cdr:relSizeAnchor xmlns:cdr="http://schemas.openxmlformats.org/drawingml/2006/chartDrawing">
    <cdr:from>
      <cdr:x>0.5395</cdr:x>
      <cdr:y>0.34675</cdr:y>
    </cdr:from>
    <cdr:to>
      <cdr:x>0.76175</cdr:x>
      <cdr:y>0.39975</cdr:y>
    </cdr:to>
    <cdr:sp>
      <cdr:nvSpPr>
        <cdr:cNvPr id="4" name="AutoShape 12"/>
        <cdr:cNvSpPr>
          <a:spLocks/>
        </cdr:cNvSpPr>
      </cdr:nvSpPr>
      <cdr:spPr>
        <a:xfrm rot="18935716">
          <a:off x="4981575" y="1990725"/>
          <a:ext cx="2057400" cy="304800"/>
        </a:xfrm>
        <a:prstGeom prst="curvedDownArrow">
          <a:avLst>
            <a:gd name="adj" fmla="val 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0.5855</cdr:x>
      <cdr:y>0.3185</cdr:y>
    </cdr:from>
    <cdr:to>
      <cdr:x>0.66675</cdr:x>
      <cdr:y>0.356</cdr:y>
    </cdr:to>
    <cdr:sp>
      <cdr:nvSpPr>
        <cdr:cNvPr id="5" name="TextBox 13"/>
        <cdr:cNvSpPr txBox="1">
          <a:spLocks noChangeArrowheads="1"/>
        </cdr:cNvSpPr>
      </cdr:nvSpPr>
      <cdr:spPr>
        <a:xfrm>
          <a:off x="5400675" y="182880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+59,1%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0.0735</cdr:y>
    </cdr:from>
    <cdr:to>
      <cdr:x>0.98825</cdr:x>
      <cdr:y>0.13275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419100"/>
          <a:ext cx="8277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- 822 médecins visités entre le 05/12/06 et le 15/04/07 - juin 07</a:t>
          </a:r>
        </a:p>
      </cdr:txBody>
    </cdr:sp>
  </cdr:relSizeAnchor>
  <cdr:relSizeAnchor xmlns:cdr="http://schemas.openxmlformats.org/drawingml/2006/chartDrawing">
    <cdr:from>
      <cdr:x>0.10125</cdr:x>
      <cdr:y>0.116</cdr:y>
    </cdr:from>
    <cdr:to>
      <cdr:x>0.72775</cdr:x>
      <cdr:y>0.265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" y="666750"/>
          <a:ext cx="579120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nombre de patients sous antibiotiques varie du simple au double entre les périodes épidémiques et celles sans pathologie - Ce graphique permet de comparer l'activité épidémique des 3 dernières saisons hivernales. A noter, également une remontée de la pathologie en mai  (météo capricieuse)
 =&gt; L'interprétation n'est pas possible sur les données brutes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0.082</cdr:y>
    </cdr:from>
    <cdr:to>
      <cdr:x>0.966</cdr:x>
      <cdr:y>0.141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466725"/>
          <a:ext cx="799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- 822 médecins visités entre le 05/12/06 et le 15/04/07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0.095</cdr:y>
    </cdr:from>
    <cdr:to>
      <cdr:x>0.9595</cdr:x>
      <cdr:y>0.1545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542925"/>
          <a:ext cx="8162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Données mensuelles - Région LR - 822 médecins visités entre le 05/12/06 et le 15/04/07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Liste1" displayName="Liste1" ref="A1:B23" totalsRowShown="0">
  <autoFilter ref="A1:B23"/>
  <tableColumns count="2">
    <tableColumn id="1" name="Ordre"/>
    <tableColumn id="2" name="Antibiotiqu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workbookViewId="0" topLeftCell="A1">
      <selection activeCell="C9" sqref="C9"/>
    </sheetView>
  </sheetViews>
  <sheetFormatPr defaultColWidth="11.421875" defaultRowHeight="12.75"/>
  <cols>
    <col min="1" max="1" width="21.7109375" style="0" customWidth="1"/>
    <col min="2" max="2" width="28.57421875" style="0" bestFit="1" customWidth="1"/>
    <col min="3" max="3" width="28.57421875" style="0" customWidth="1"/>
    <col min="4" max="4" width="12.7109375" style="0" customWidth="1"/>
    <col min="32" max="32" width="11.421875" style="40" customWidth="1"/>
  </cols>
  <sheetData>
    <row r="1" spans="1:36" ht="25.5">
      <c r="A1" s="1" t="s">
        <v>79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4">
        <v>38991</v>
      </c>
      <c r="AC1" s="4">
        <v>39022</v>
      </c>
      <c r="AD1" s="65">
        <v>39052</v>
      </c>
      <c r="AE1" s="65">
        <v>39083</v>
      </c>
      <c r="AF1" s="66">
        <v>39114</v>
      </c>
      <c r="AG1" s="66">
        <v>39142</v>
      </c>
      <c r="AH1" s="66">
        <v>39173</v>
      </c>
      <c r="AI1" s="66">
        <v>39203</v>
      </c>
      <c r="AJ1" s="66">
        <v>39234</v>
      </c>
    </row>
    <row r="2" spans="1:36" ht="12.75">
      <c r="A2" s="5">
        <v>1</v>
      </c>
      <c r="B2" s="6" t="s">
        <v>26</v>
      </c>
      <c r="C2" s="7" t="s">
        <v>112</v>
      </c>
      <c r="D2" s="69">
        <v>5824</v>
      </c>
      <c r="E2" s="69">
        <v>5339</v>
      </c>
      <c r="F2" s="69">
        <v>6442</v>
      </c>
      <c r="G2" s="69">
        <v>7188</v>
      </c>
      <c r="H2" s="69">
        <v>9678</v>
      </c>
      <c r="I2" s="69">
        <v>7404</v>
      </c>
      <c r="J2" s="69">
        <v>5683</v>
      </c>
      <c r="K2" s="69">
        <v>4617</v>
      </c>
      <c r="L2" s="69">
        <v>4765</v>
      </c>
      <c r="M2" s="69">
        <v>3749</v>
      </c>
      <c r="N2" s="69">
        <v>3242</v>
      </c>
      <c r="O2" s="69">
        <v>5200</v>
      </c>
      <c r="P2" s="69">
        <v>6318</v>
      </c>
      <c r="Q2" s="69">
        <v>6471</v>
      </c>
      <c r="R2" s="69">
        <v>9042</v>
      </c>
      <c r="S2" s="69">
        <v>7628</v>
      </c>
      <c r="T2" s="69">
        <v>8687</v>
      </c>
      <c r="U2" s="69">
        <v>7730</v>
      </c>
      <c r="V2" s="69">
        <v>6660</v>
      </c>
      <c r="W2" s="69">
        <v>5513</v>
      </c>
      <c r="X2" s="69">
        <v>5625</v>
      </c>
      <c r="Y2" s="69">
        <v>4384</v>
      </c>
      <c r="Z2" s="69">
        <v>3929</v>
      </c>
      <c r="AA2" s="69">
        <v>5606</v>
      </c>
      <c r="AB2" s="69">
        <v>7785</v>
      </c>
      <c r="AC2" s="69">
        <v>6678</v>
      </c>
      <c r="AD2" s="69">
        <v>7873</v>
      </c>
      <c r="AE2" s="68">
        <v>12296</v>
      </c>
      <c r="AF2" s="68">
        <v>13073</v>
      </c>
      <c r="AG2" s="68">
        <v>9548</v>
      </c>
      <c r="AH2" s="68">
        <v>7798</v>
      </c>
      <c r="AI2" s="68">
        <v>8765</v>
      </c>
      <c r="AJ2" s="68">
        <v>8198</v>
      </c>
    </row>
    <row r="3" spans="1:36" ht="12.75">
      <c r="A3" s="5">
        <v>2</v>
      </c>
      <c r="B3" s="6" t="s">
        <v>27</v>
      </c>
      <c r="C3" s="7" t="s">
        <v>112</v>
      </c>
      <c r="D3" s="69">
        <v>4746</v>
      </c>
      <c r="E3" s="69">
        <v>4300</v>
      </c>
      <c r="F3" s="69">
        <v>5340</v>
      </c>
      <c r="G3" s="69">
        <v>5976</v>
      </c>
      <c r="H3" s="69">
        <v>7561</v>
      </c>
      <c r="I3" s="69">
        <v>6727</v>
      </c>
      <c r="J3" s="69">
        <v>5656</v>
      </c>
      <c r="K3" s="69">
        <v>4377</v>
      </c>
      <c r="L3" s="69">
        <v>4226</v>
      </c>
      <c r="M3" s="69">
        <v>3477</v>
      </c>
      <c r="N3" s="69">
        <v>3213</v>
      </c>
      <c r="O3" s="69">
        <v>4291</v>
      </c>
      <c r="P3" s="69">
        <v>5045</v>
      </c>
      <c r="Q3" s="69">
        <v>4810</v>
      </c>
      <c r="R3" s="69">
        <v>7090</v>
      </c>
      <c r="S3" s="69">
        <v>6546</v>
      </c>
      <c r="T3" s="69">
        <v>7217</v>
      </c>
      <c r="U3" s="69">
        <v>6254</v>
      </c>
      <c r="V3" s="69">
        <v>5384</v>
      </c>
      <c r="W3" s="69">
        <v>4660</v>
      </c>
      <c r="X3" s="69">
        <v>4481</v>
      </c>
      <c r="Y3" s="69">
        <v>3816</v>
      </c>
      <c r="Z3" s="69">
        <v>4040</v>
      </c>
      <c r="AA3" s="69">
        <v>4321</v>
      </c>
      <c r="AB3" s="69">
        <v>6131</v>
      </c>
      <c r="AC3" s="69">
        <v>5422</v>
      </c>
      <c r="AD3" s="69">
        <v>6312</v>
      </c>
      <c r="AE3" s="68">
        <v>10031</v>
      </c>
      <c r="AF3" s="68">
        <v>9510</v>
      </c>
      <c r="AG3" s="68">
        <v>6797</v>
      </c>
      <c r="AH3" s="68">
        <v>5715</v>
      </c>
      <c r="AI3" s="68">
        <v>6054</v>
      </c>
      <c r="AJ3" s="68">
        <v>5247</v>
      </c>
    </row>
    <row r="4" spans="1:36" ht="12.75">
      <c r="A4" s="5">
        <v>3</v>
      </c>
      <c r="B4" s="6" t="s">
        <v>28</v>
      </c>
      <c r="C4" s="7" t="s">
        <v>112</v>
      </c>
      <c r="D4" s="69">
        <v>274</v>
      </c>
      <c r="E4" s="69">
        <v>234</v>
      </c>
      <c r="F4" s="69">
        <v>224</v>
      </c>
      <c r="G4" s="69">
        <v>198</v>
      </c>
      <c r="H4" s="69">
        <v>174</v>
      </c>
      <c r="I4" s="69">
        <v>233</v>
      </c>
      <c r="J4" s="69">
        <v>219</v>
      </c>
      <c r="K4" s="69">
        <v>238</v>
      </c>
      <c r="L4" s="69">
        <v>254</v>
      </c>
      <c r="M4" s="69">
        <v>313</v>
      </c>
      <c r="N4" s="69">
        <v>289</v>
      </c>
      <c r="O4" s="69">
        <v>313</v>
      </c>
      <c r="P4" s="69">
        <v>187</v>
      </c>
      <c r="Q4" s="69">
        <v>198</v>
      </c>
      <c r="R4" s="69">
        <v>221</v>
      </c>
      <c r="S4" s="69">
        <v>207</v>
      </c>
      <c r="T4" s="69">
        <v>206</v>
      </c>
      <c r="U4" s="69">
        <v>297</v>
      </c>
      <c r="V4" s="69">
        <v>216</v>
      </c>
      <c r="W4" s="69">
        <v>276</v>
      </c>
      <c r="X4" s="69">
        <v>314</v>
      </c>
      <c r="Y4" s="69">
        <v>351</v>
      </c>
      <c r="Z4" s="69">
        <v>399</v>
      </c>
      <c r="AA4" s="69">
        <v>288</v>
      </c>
      <c r="AB4" s="69">
        <v>251</v>
      </c>
      <c r="AC4" s="69">
        <v>228</v>
      </c>
      <c r="AD4" s="69">
        <v>202</v>
      </c>
      <c r="AE4" s="68">
        <v>241</v>
      </c>
      <c r="AF4" s="68">
        <v>173</v>
      </c>
      <c r="AG4" s="68">
        <v>219</v>
      </c>
      <c r="AH4" s="68">
        <v>189</v>
      </c>
      <c r="AI4" s="68">
        <v>282</v>
      </c>
      <c r="AJ4" s="68">
        <v>300</v>
      </c>
    </row>
    <row r="5" spans="1:36" ht="12.75">
      <c r="A5" s="5">
        <v>4</v>
      </c>
      <c r="B5" s="6" t="s">
        <v>29</v>
      </c>
      <c r="C5" s="7" t="s">
        <v>112</v>
      </c>
      <c r="D5" s="69">
        <v>437</v>
      </c>
      <c r="E5" s="69">
        <v>388</v>
      </c>
      <c r="F5" s="69">
        <v>381</v>
      </c>
      <c r="G5" s="69">
        <v>335</v>
      </c>
      <c r="H5" s="69">
        <v>277</v>
      </c>
      <c r="I5" s="69">
        <v>372</v>
      </c>
      <c r="J5" s="69">
        <v>405</v>
      </c>
      <c r="K5" s="69">
        <v>410</v>
      </c>
      <c r="L5" s="69">
        <v>537</v>
      </c>
      <c r="M5" s="69">
        <v>563</v>
      </c>
      <c r="N5" s="69">
        <v>515</v>
      </c>
      <c r="O5" s="69">
        <v>551</v>
      </c>
      <c r="P5" s="69">
        <v>510</v>
      </c>
      <c r="Q5" s="69">
        <v>528</v>
      </c>
      <c r="R5" s="69">
        <v>503</v>
      </c>
      <c r="S5" s="69">
        <v>392</v>
      </c>
      <c r="T5" s="69">
        <v>387</v>
      </c>
      <c r="U5" s="69">
        <v>461</v>
      </c>
      <c r="V5" s="69">
        <v>403</v>
      </c>
      <c r="W5" s="69">
        <v>463</v>
      </c>
      <c r="X5" s="69">
        <v>558</v>
      </c>
      <c r="Y5" s="69">
        <v>604</v>
      </c>
      <c r="Z5" s="69">
        <v>506</v>
      </c>
      <c r="AA5" s="69">
        <v>552</v>
      </c>
      <c r="AB5" s="69">
        <v>574</v>
      </c>
      <c r="AC5" s="69">
        <v>445</v>
      </c>
      <c r="AD5" s="69">
        <v>426</v>
      </c>
      <c r="AE5" s="68">
        <v>403</v>
      </c>
      <c r="AF5" s="68">
        <v>337</v>
      </c>
      <c r="AG5" s="68">
        <v>450</v>
      </c>
      <c r="AH5" s="68">
        <v>375</v>
      </c>
      <c r="AI5" s="68">
        <v>488</v>
      </c>
      <c r="AJ5" s="68">
        <v>530</v>
      </c>
    </row>
    <row r="6" spans="1:36" ht="12.75">
      <c r="A6" s="5">
        <v>5</v>
      </c>
      <c r="B6" s="6" t="s">
        <v>30</v>
      </c>
      <c r="C6" s="7" t="s">
        <v>112</v>
      </c>
      <c r="D6" s="69">
        <v>377</v>
      </c>
      <c r="E6" s="69">
        <v>358</v>
      </c>
      <c r="F6" s="69">
        <v>410</v>
      </c>
      <c r="G6" s="69">
        <v>554</v>
      </c>
      <c r="H6" s="69">
        <v>653</v>
      </c>
      <c r="I6" s="69">
        <v>451</v>
      </c>
      <c r="J6" s="69">
        <v>330</v>
      </c>
      <c r="K6" s="69">
        <v>222</v>
      </c>
      <c r="L6" s="69">
        <v>204</v>
      </c>
      <c r="M6" s="69">
        <v>130</v>
      </c>
      <c r="N6" s="69">
        <v>146</v>
      </c>
      <c r="O6" s="69">
        <v>279</v>
      </c>
      <c r="P6" s="69">
        <v>317</v>
      </c>
      <c r="Q6" s="69">
        <v>285</v>
      </c>
      <c r="R6" s="69">
        <v>506</v>
      </c>
      <c r="S6" s="69">
        <v>406</v>
      </c>
      <c r="T6" s="69">
        <v>552</v>
      </c>
      <c r="U6" s="69">
        <v>420</v>
      </c>
      <c r="V6" s="69">
        <v>285</v>
      </c>
      <c r="W6" s="69">
        <v>233</v>
      </c>
      <c r="X6" s="69">
        <v>223</v>
      </c>
      <c r="Y6" s="69">
        <v>185</v>
      </c>
      <c r="Z6" s="69">
        <v>196</v>
      </c>
      <c r="AA6" s="69">
        <v>217</v>
      </c>
      <c r="AB6" s="69">
        <v>362</v>
      </c>
      <c r="AC6" s="69">
        <v>317</v>
      </c>
      <c r="AD6" s="69">
        <v>408</v>
      </c>
      <c r="AE6" s="68">
        <v>560</v>
      </c>
      <c r="AF6" s="68">
        <v>430</v>
      </c>
      <c r="AG6" s="68">
        <v>300</v>
      </c>
      <c r="AH6" s="68">
        <v>153</v>
      </c>
      <c r="AI6" s="68">
        <v>195</v>
      </c>
      <c r="AJ6" s="68">
        <v>184</v>
      </c>
    </row>
    <row r="7" spans="1:36" ht="12.75">
      <c r="A7" s="5">
        <v>6</v>
      </c>
      <c r="B7" s="6" t="s">
        <v>31</v>
      </c>
      <c r="C7" s="7" t="s">
        <v>112</v>
      </c>
      <c r="D7" s="69">
        <v>474</v>
      </c>
      <c r="E7" s="69">
        <v>416</v>
      </c>
      <c r="F7" s="69">
        <v>452</v>
      </c>
      <c r="G7" s="69">
        <v>592</v>
      </c>
      <c r="H7" s="69">
        <v>779</v>
      </c>
      <c r="I7" s="69">
        <v>523</v>
      </c>
      <c r="J7" s="69">
        <v>429</v>
      </c>
      <c r="K7" s="69">
        <v>280</v>
      </c>
      <c r="L7" s="69">
        <v>257</v>
      </c>
      <c r="M7" s="69">
        <v>179</v>
      </c>
      <c r="N7" s="69">
        <v>130</v>
      </c>
      <c r="O7" s="69">
        <v>272</v>
      </c>
      <c r="P7" s="69">
        <v>408</v>
      </c>
      <c r="Q7" s="69">
        <v>343</v>
      </c>
      <c r="R7" s="69">
        <v>510</v>
      </c>
      <c r="S7" s="69">
        <v>386</v>
      </c>
      <c r="T7" s="69">
        <v>480</v>
      </c>
      <c r="U7" s="69">
        <v>390</v>
      </c>
      <c r="V7" s="69">
        <v>299</v>
      </c>
      <c r="W7" s="69">
        <v>222</v>
      </c>
      <c r="X7" s="69">
        <v>241</v>
      </c>
      <c r="Y7" s="69">
        <v>151</v>
      </c>
      <c r="Z7" s="69">
        <v>104</v>
      </c>
      <c r="AA7" s="69">
        <v>212</v>
      </c>
      <c r="AB7" s="69">
        <v>304</v>
      </c>
      <c r="AC7" s="69">
        <v>160</v>
      </c>
      <c r="AD7" s="69">
        <v>177</v>
      </c>
      <c r="AE7" s="68">
        <v>218</v>
      </c>
      <c r="AF7" s="68">
        <v>136</v>
      </c>
      <c r="AG7" s="68">
        <v>71</v>
      </c>
      <c r="AH7" s="68">
        <v>39</v>
      </c>
      <c r="AI7" s="68">
        <v>46</v>
      </c>
      <c r="AJ7" s="68">
        <v>37</v>
      </c>
    </row>
    <row r="8" spans="1:36" ht="12.75">
      <c r="A8" s="5">
        <v>7</v>
      </c>
      <c r="B8" s="6" t="s">
        <v>32</v>
      </c>
      <c r="C8" s="7" t="s">
        <v>112</v>
      </c>
      <c r="D8" s="69">
        <v>1205</v>
      </c>
      <c r="E8" s="69">
        <v>1037</v>
      </c>
      <c r="F8" s="69">
        <v>1332</v>
      </c>
      <c r="G8" s="69">
        <v>1401</v>
      </c>
      <c r="H8" s="69">
        <v>1881</v>
      </c>
      <c r="I8" s="69">
        <v>1547</v>
      </c>
      <c r="J8" s="69">
        <v>1260</v>
      </c>
      <c r="K8" s="69">
        <v>878</v>
      </c>
      <c r="L8" s="69">
        <v>812</v>
      </c>
      <c r="M8" s="69">
        <v>575</v>
      </c>
      <c r="N8" s="69">
        <v>351</v>
      </c>
      <c r="O8" s="69">
        <v>859</v>
      </c>
      <c r="P8" s="69">
        <v>1211</v>
      </c>
      <c r="Q8" s="69">
        <v>1036</v>
      </c>
      <c r="R8" s="69">
        <v>1666</v>
      </c>
      <c r="S8" s="69">
        <v>1364</v>
      </c>
      <c r="T8" s="69">
        <v>1712</v>
      </c>
      <c r="U8" s="69">
        <v>1435</v>
      </c>
      <c r="V8" s="69">
        <v>1159</v>
      </c>
      <c r="W8" s="69">
        <v>746</v>
      </c>
      <c r="X8" s="69">
        <v>750</v>
      </c>
      <c r="Y8" s="69">
        <v>505</v>
      </c>
      <c r="Z8" s="69">
        <v>456</v>
      </c>
      <c r="AA8" s="69">
        <v>751</v>
      </c>
      <c r="AB8" s="69">
        <v>1303</v>
      </c>
      <c r="AC8" s="69">
        <v>1068</v>
      </c>
      <c r="AD8" s="69">
        <v>1498</v>
      </c>
      <c r="AE8" s="68">
        <v>1830</v>
      </c>
      <c r="AF8" s="68">
        <v>1593</v>
      </c>
      <c r="AG8" s="68">
        <v>900</v>
      </c>
      <c r="AH8" s="68">
        <v>603</v>
      </c>
      <c r="AI8" s="68">
        <v>684</v>
      </c>
      <c r="AJ8" s="68">
        <v>595</v>
      </c>
    </row>
    <row r="9" spans="1:36" ht="12.75">
      <c r="A9" s="5">
        <v>8</v>
      </c>
      <c r="B9" s="6" t="s">
        <v>33</v>
      </c>
      <c r="C9" s="7" t="s">
        <v>112</v>
      </c>
      <c r="D9" s="69">
        <v>3054</v>
      </c>
      <c r="E9" s="69">
        <v>2492</v>
      </c>
      <c r="F9" s="69">
        <v>3194</v>
      </c>
      <c r="G9" s="69">
        <v>3653</v>
      </c>
      <c r="H9" s="69">
        <v>5049</v>
      </c>
      <c r="I9" s="69">
        <v>3936</v>
      </c>
      <c r="J9" s="69">
        <v>2819</v>
      </c>
      <c r="K9" s="69">
        <v>2067</v>
      </c>
      <c r="L9" s="69">
        <v>1660</v>
      </c>
      <c r="M9" s="69">
        <v>999</v>
      </c>
      <c r="N9" s="69">
        <v>938</v>
      </c>
      <c r="O9" s="69">
        <v>1729</v>
      </c>
      <c r="P9" s="69">
        <v>2076</v>
      </c>
      <c r="Q9" s="69">
        <v>1867</v>
      </c>
      <c r="R9" s="69">
        <v>2860</v>
      </c>
      <c r="S9" s="69">
        <v>2800</v>
      </c>
      <c r="T9" s="69">
        <v>2723</v>
      </c>
      <c r="U9" s="69">
        <v>2305</v>
      </c>
      <c r="V9" s="69">
        <v>1722</v>
      </c>
      <c r="W9" s="69">
        <v>1379</v>
      </c>
      <c r="X9" s="69">
        <v>1217</v>
      </c>
      <c r="Y9" s="69">
        <v>824</v>
      </c>
      <c r="Z9" s="69">
        <v>929</v>
      </c>
      <c r="AA9" s="69">
        <v>1248</v>
      </c>
      <c r="AB9" s="69">
        <v>1895</v>
      </c>
      <c r="AC9" s="69">
        <v>1741</v>
      </c>
      <c r="AD9" s="69">
        <v>2021</v>
      </c>
      <c r="AE9" s="68">
        <v>2909</v>
      </c>
      <c r="AF9" s="68">
        <v>2316</v>
      </c>
      <c r="AG9" s="68">
        <v>1444</v>
      </c>
      <c r="AH9" s="68">
        <v>1196</v>
      </c>
      <c r="AI9" s="68">
        <v>1080</v>
      </c>
      <c r="AJ9" s="68">
        <v>962</v>
      </c>
    </row>
    <row r="10" spans="1:36" ht="12.75">
      <c r="A10" s="5">
        <v>9</v>
      </c>
      <c r="B10" s="6" t="s">
        <v>34</v>
      </c>
      <c r="C10" s="7" t="s">
        <v>112</v>
      </c>
      <c r="D10" s="69">
        <v>1760</v>
      </c>
      <c r="E10" s="69">
        <v>1537</v>
      </c>
      <c r="F10" s="69">
        <v>1837</v>
      </c>
      <c r="G10" s="69">
        <v>2216</v>
      </c>
      <c r="H10" s="69">
        <v>2838</v>
      </c>
      <c r="I10" s="69">
        <v>2266</v>
      </c>
      <c r="J10" s="69">
        <v>1946</v>
      </c>
      <c r="K10" s="69">
        <v>1462</v>
      </c>
      <c r="L10" s="69">
        <v>1444</v>
      </c>
      <c r="M10" s="69">
        <v>1152</v>
      </c>
      <c r="N10" s="69">
        <v>958</v>
      </c>
      <c r="O10" s="69">
        <v>1393</v>
      </c>
      <c r="P10" s="69">
        <v>1660</v>
      </c>
      <c r="Q10" s="69">
        <v>1363</v>
      </c>
      <c r="R10" s="69">
        <v>1932</v>
      </c>
      <c r="S10" s="69">
        <v>1717</v>
      </c>
      <c r="T10" s="69">
        <v>2064</v>
      </c>
      <c r="U10" s="69">
        <v>1814</v>
      </c>
      <c r="V10" s="69">
        <v>1533</v>
      </c>
      <c r="W10" s="69">
        <v>1321</v>
      </c>
      <c r="X10" s="69">
        <v>1352</v>
      </c>
      <c r="Y10" s="69">
        <v>1222</v>
      </c>
      <c r="Z10" s="69">
        <v>1230</v>
      </c>
      <c r="AA10" s="69">
        <v>1395</v>
      </c>
      <c r="AB10" s="69">
        <v>1847</v>
      </c>
      <c r="AC10" s="69">
        <v>1591</v>
      </c>
      <c r="AD10" s="69">
        <v>1896</v>
      </c>
      <c r="AE10" s="68">
        <v>2294</v>
      </c>
      <c r="AF10" s="68">
        <v>1991</v>
      </c>
      <c r="AG10" s="68">
        <v>1421</v>
      </c>
      <c r="AH10" s="68">
        <v>1201</v>
      </c>
      <c r="AI10" s="68">
        <v>1310</v>
      </c>
      <c r="AJ10" s="68">
        <v>1282</v>
      </c>
    </row>
    <row r="11" spans="1:36" ht="12.75">
      <c r="A11" s="5">
        <v>10</v>
      </c>
      <c r="B11" s="6" t="s">
        <v>35</v>
      </c>
      <c r="C11" s="7" t="s">
        <v>112</v>
      </c>
      <c r="D11" s="69">
        <v>6427</v>
      </c>
      <c r="E11" s="69">
        <v>5781</v>
      </c>
      <c r="F11" s="69">
        <v>7592</v>
      </c>
      <c r="G11" s="69">
        <v>8567</v>
      </c>
      <c r="H11" s="69">
        <v>10822</v>
      </c>
      <c r="I11" s="69">
        <v>8886</v>
      </c>
      <c r="J11" s="69">
        <v>7517</v>
      </c>
      <c r="K11" s="69">
        <v>5311</v>
      </c>
      <c r="L11" s="69">
        <v>5190</v>
      </c>
      <c r="M11" s="69">
        <v>3750</v>
      </c>
      <c r="N11" s="69">
        <v>2981</v>
      </c>
      <c r="O11" s="69">
        <v>5024</v>
      </c>
      <c r="P11" s="69">
        <v>6192</v>
      </c>
      <c r="Q11" s="69">
        <v>5247</v>
      </c>
      <c r="R11" s="69">
        <v>8386</v>
      </c>
      <c r="S11" s="69">
        <v>7575</v>
      </c>
      <c r="T11" s="69">
        <v>9315</v>
      </c>
      <c r="U11" s="69">
        <v>7967</v>
      </c>
      <c r="V11" s="69">
        <v>6581</v>
      </c>
      <c r="W11" s="69">
        <v>5305</v>
      </c>
      <c r="X11" s="69">
        <v>5337</v>
      </c>
      <c r="Y11" s="69">
        <v>4478</v>
      </c>
      <c r="Z11" s="69">
        <v>4046</v>
      </c>
      <c r="AA11" s="69">
        <v>5025</v>
      </c>
      <c r="AB11" s="69">
        <v>7706</v>
      </c>
      <c r="AC11" s="69">
        <v>6828</v>
      </c>
      <c r="AD11" s="69">
        <v>8451</v>
      </c>
      <c r="AE11" s="68">
        <v>10484</v>
      </c>
      <c r="AF11" s="68">
        <v>8941</v>
      </c>
      <c r="AG11" s="68">
        <v>5991</v>
      </c>
      <c r="AH11" s="68">
        <v>4478</v>
      </c>
      <c r="AI11" s="68">
        <v>4852</v>
      </c>
      <c r="AJ11" s="68">
        <v>4464</v>
      </c>
    </row>
    <row r="12" spans="1:36" ht="12.75">
      <c r="A12" s="5">
        <v>11</v>
      </c>
      <c r="B12" s="6" t="s">
        <v>36</v>
      </c>
      <c r="C12" s="7" t="s">
        <v>112</v>
      </c>
      <c r="D12" s="69">
        <v>678</v>
      </c>
      <c r="E12" s="69">
        <v>606</v>
      </c>
      <c r="F12" s="69">
        <v>801</v>
      </c>
      <c r="G12" s="69">
        <v>875</v>
      </c>
      <c r="H12" s="69">
        <v>1187</v>
      </c>
      <c r="I12" s="69">
        <v>946</v>
      </c>
      <c r="J12" s="69">
        <v>660</v>
      </c>
      <c r="K12" s="69">
        <v>473</v>
      </c>
      <c r="L12" s="69">
        <v>344</v>
      </c>
      <c r="M12" s="69">
        <v>223</v>
      </c>
      <c r="N12" s="69">
        <v>256</v>
      </c>
      <c r="O12" s="69">
        <v>397</v>
      </c>
      <c r="P12" s="69">
        <v>505</v>
      </c>
      <c r="Q12" s="69">
        <v>416</v>
      </c>
      <c r="R12" s="69">
        <v>615</v>
      </c>
      <c r="S12" s="69">
        <v>680</v>
      </c>
      <c r="T12" s="69">
        <v>662</v>
      </c>
      <c r="U12" s="69">
        <v>555</v>
      </c>
      <c r="V12" s="69">
        <v>414</v>
      </c>
      <c r="W12" s="69">
        <v>374</v>
      </c>
      <c r="X12" s="69">
        <v>299</v>
      </c>
      <c r="Y12" s="69">
        <v>178</v>
      </c>
      <c r="Z12" s="69">
        <v>227</v>
      </c>
      <c r="AA12" s="69">
        <v>345</v>
      </c>
      <c r="AB12" s="69">
        <v>536</v>
      </c>
      <c r="AC12" s="69">
        <v>517</v>
      </c>
      <c r="AD12" s="69">
        <v>531</v>
      </c>
      <c r="AE12" s="68">
        <v>857</v>
      </c>
      <c r="AF12" s="68">
        <v>667</v>
      </c>
      <c r="AG12" s="68">
        <v>432</v>
      </c>
      <c r="AH12" s="68">
        <v>339</v>
      </c>
      <c r="AI12" s="68">
        <v>305</v>
      </c>
      <c r="AJ12" s="68">
        <v>295</v>
      </c>
    </row>
    <row r="13" spans="1:36" ht="12.75">
      <c r="A13" s="5">
        <v>12</v>
      </c>
      <c r="B13" s="6" t="s">
        <v>37</v>
      </c>
      <c r="C13" s="7" t="s">
        <v>112</v>
      </c>
      <c r="D13" s="69">
        <v>889</v>
      </c>
      <c r="E13" s="69">
        <v>785</v>
      </c>
      <c r="F13" s="69">
        <v>965</v>
      </c>
      <c r="G13" s="69">
        <v>1297</v>
      </c>
      <c r="H13" s="69">
        <v>1738</v>
      </c>
      <c r="I13" s="69">
        <v>1583</v>
      </c>
      <c r="J13" s="69">
        <v>963</v>
      </c>
      <c r="K13" s="69">
        <v>787</v>
      </c>
      <c r="L13" s="69">
        <v>698</v>
      </c>
      <c r="M13" s="69">
        <v>497</v>
      </c>
      <c r="N13" s="69">
        <v>482</v>
      </c>
      <c r="O13" s="69">
        <v>639</v>
      </c>
      <c r="P13" s="69">
        <v>869</v>
      </c>
      <c r="Q13" s="69">
        <v>835</v>
      </c>
      <c r="R13" s="69">
        <v>1056</v>
      </c>
      <c r="S13" s="69">
        <v>1303</v>
      </c>
      <c r="T13" s="69">
        <v>1130</v>
      </c>
      <c r="U13" s="69">
        <v>1138</v>
      </c>
      <c r="V13" s="69">
        <v>795</v>
      </c>
      <c r="W13" s="69">
        <v>763</v>
      </c>
      <c r="X13" s="69">
        <v>663</v>
      </c>
      <c r="Y13" s="69">
        <v>519</v>
      </c>
      <c r="Z13" s="69">
        <v>532</v>
      </c>
      <c r="AA13" s="69">
        <v>681</v>
      </c>
      <c r="AB13" s="69">
        <v>930</v>
      </c>
      <c r="AC13" s="69">
        <v>878</v>
      </c>
      <c r="AD13" s="69">
        <v>891</v>
      </c>
      <c r="AE13" s="68">
        <v>1666</v>
      </c>
      <c r="AF13" s="68">
        <v>1344</v>
      </c>
      <c r="AG13" s="68">
        <v>849</v>
      </c>
      <c r="AH13" s="68">
        <v>706</v>
      </c>
      <c r="AI13" s="68">
        <v>713</v>
      </c>
      <c r="AJ13" s="68">
        <v>624</v>
      </c>
    </row>
    <row r="14" spans="1:36" ht="12.75">
      <c r="A14" s="5">
        <v>13</v>
      </c>
      <c r="B14" s="6" t="s">
        <v>38</v>
      </c>
      <c r="C14" s="7" t="s">
        <v>112</v>
      </c>
      <c r="D14" s="69">
        <v>1170</v>
      </c>
      <c r="E14" s="69">
        <v>1031</v>
      </c>
      <c r="F14" s="69">
        <v>1312</v>
      </c>
      <c r="G14" s="69">
        <v>1576</v>
      </c>
      <c r="H14" s="69">
        <v>2429</v>
      </c>
      <c r="I14" s="69">
        <v>1648</v>
      </c>
      <c r="J14" s="69">
        <v>1123</v>
      </c>
      <c r="K14" s="69">
        <v>834</v>
      </c>
      <c r="L14" s="69">
        <v>757</v>
      </c>
      <c r="M14" s="69">
        <v>498</v>
      </c>
      <c r="N14" s="69">
        <v>518</v>
      </c>
      <c r="O14" s="69">
        <v>773</v>
      </c>
      <c r="P14" s="69">
        <v>969</v>
      </c>
      <c r="Q14" s="69">
        <v>821</v>
      </c>
      <c r="R14" s="69">
        <v>1248</v>
      </c>
      <c r="S14" s="69">
        <v>1239</v>
      </c>
      <c r="T14" s="69">
        <v>1300</v>
      </c>
      <c r="U14" s="69">
        <v>1185</v>
      </c>
      <c r="V14" s="69">
        <v>910</v>
      </c>
      <c r="W14" s="69">
        <v>678</v>
      </c>
      <c r="X14" s="69">
        <v>613</v>
      </c>
      <c r="Y14" s="69">
        <v>419</v>
      </c>
      <c r="Z14" s="69">
        <v>441</v>
      </c>
      <c r="AA14" s="69">
        <v>677</v>
      </c>
      <c r="AB14" s="69">
        <v>1057</v>
      </c>
      <c r="AC14" s="69">
        <v>814</v>
      </c>
      <c r="AD14" s="69">
        <v>938</v>
      </c>
      <c r="AE14" s="68">
        <v>1465</v>
      </c>
      <c r="AF14" s="68">
        <v>1299</v>
      </c>
      <c r="AG14" s="68">
        <v>745</v>
      </c>
      <c r="AH14" s="68">
        <v>534</v>
      </c>
      <c r="AI14" s="68">
        <v>603</v>
      </c>
      <c r="AJ14" s="68">
        <v>550</v>
      </c>
    </row>
    <row r="15" spans="1:36" ht="12.75">
      <c r="A15" s="5">
        <v>14</v>
      </c>
      <c r="B15" s="6" t="s">
        <v>39</v>
      </c>
      <c r="C15" s="7" t="s">
        <v>112</v>
      </c>
      <c r="D15" s="69">
        <v>855</v>
      </c>
      <c r="E15" s="69">
        <v>816</v>
      </c>
      <c r="F15" s="69">
        <v>976</v>
      </c>
      <c r="G15" s="69">
        <v>1091</v>
      </c>
      <c r="H15" s="69">
        <v>1462</v>
      </c>
      <c r="I15" s="69">
        <v>1046</v>
      </c>
      <c r="J15" s="69">
        <v>911</v>
      </c>
      <c r="K15" s="69">
        <v>619</v>
      </c>
      <c r="L15" s="69">
        <v>680</v>
      </c>
      <c r="M15" s="69">
        <v>523</v>
      </c>
      <c r="N15" s="69">
        <v>344</v>
      </c>
      <c r="O15" s="69">
        <v>605</v>
      </c>
      <c r="P15" s="69">
        <v>889</v>
      </c>
      <c r="Q15" s="69">
        <v>783</v>
      </c>
      <c r="R15" s="69">
        <v>1250</v>
      </c>
      <c r="S15" s="69">
        <v>877</v>
      </c>
      <c r="T15" s="69">
        <v>1164</v>
      </c>
      <c r="U15" s="69">
        <v>1010</v>
      </c>
      <c r="V15" s="69">
        <v>832</v>
      </c>
      <c r="W15" s="69">
        <v>605</v>
      </c>
      <c r="X15" s="69">
        <v>580</v>
      </c>
      <c r="Y15" s="69">
        <v>456</v>
      </c>
      <c r="Z15" s="69">
        <v>386</v>
      </c>
      <c r="AA15" s="69">
        <v>524</v>
      </c>
      <c r="AB15" s="69">
        <v>880</v>
      </c>
      <c r="AC15" s="69">
        <v>710</v>
      </c>
      <c r="AD15" s="69">
        <v>898</v>
      </c>
      <c r="AE15" s="68">
        <v>1187</v>
      </c>
      <c r="AF15" s="68">
        <v>963</v>
      </c>
      <c r="AG15" s="68">
        <v>584</v>
      </c>
      <c r="AH15" s="68">
        <v>430</v>
      </c>
      <c r="AI15" s="68">
        <v>563</v>
      </c>
      <c r="AJ15" s="68">
        <v>523</v>
      </c>
    </row>
    <row r="16" spans="1:36" ht="25.5">
      <c r="A16" s="5">
        <v>15</v>
      </c>
      <c r="B16" s="6" t="s">
        <v>40</v>
      </c>
      <c r="C16" s="7" t="s">
        <v>112</v>
      </c>
      <c r="D16" s="69">
        <v>3797</v>
      </c>
      <c r="E16" s="69">
        <v>3381</v>
      </c>
      <c r="F16" s="69">
        <v>4546</v>
      </c>
      <c r="G16" s="69">
        <v>4972</v>
      </c>
      <c r="H16" s="69">
        <v>7228</v>
      </c>
      <c r="I16" s="69">
        <v>5711</v>
      </c>
      <c r="J16" s="69">
        <v>4168</v>
      </c>
      <c r="K16" s="69">
        <v>3199</v>
      </c>
      <c r="L16" s="69">
        <v>2786</v>
      </c>
      <c r="M16" s="69">
        <v>1960</v>
      </c>
      <c r="N16" s="69">
        <v>1702</v>
      </c>
      <c r="O16" s="69">
        <v>3558</v>
      </c>
      <c r="P16" s="69">
        <v>4921</v>
      </c>
      <c r="Q16" s="69">
        <v>3995</v>
      </c>
      <c r="R16" s="69">
        <v>5870</v>
      </c>
      <c r="S16" s="69">
        <v>5456</v>
      </c>
      <c r="T16" s="69">
        <v>5682</v>
      </c>
      <c r="U16" s="69">
        <v>4776</v>
      </c>
      <c r="V16" s="69">
        <v>4090</v>
      </c>
      <c r="W16" s="69">
        <v>3366</v>
      </c>
      <c r="X16" s="69">
        <v>3151</v>
      </c>
      <c r="Y16" s="69">
        <v>2120</v>
      </c>
      <c r="Z16" s="69">
        <v>2117</v>
      </c>
      <c r="AA16" s="69">
        <v>3144</v>
      </c>
      <c r="AB16" s="69">
        <v>5158</v>
      </c>
      <c r="AC16" s="69">
        <v>4296</v>
      </c>
      <c r="AD16" s="69">
        <v>4877</v>
      </c>
      <c r="AE16" s="68">
        <v>6222</v>
      </c>
      <c r="AF16" s="68">
        <v>5129</v>
      </c>
      <c r="AG16" s="68">
        <v>2972</v>
      </c>
      <c r="AH16" s="68">
        <v>2372</v>
      </c>
      <c r="AI16" s="68">
        <v>2411</v>
      </c>
      <c r="AJ16" s="68">
        <v>2212</v>
      </c>
    </row>
    <row r="17" spans="1:36" ht="12.75">
      <c r="A17" s="5">
        <v>16</v>
      </c>
      <c r="B17" s="6" t="s">
        <v>41</v>
      </c>
      <c r="C17" s="7" t="s">
        <v>112</v>
      </c>
      <c r="D17" s="69">
        <v>2103</v>
      </c>
      <c r="E17" s="69">
        <v>1797</v>
      </c>
      <c r="F17" s="69">
        <v>2229</v>
      </c>
      <c r="G17" s="69">
        <v>2390</v>
      </c>
      <c r="H17" s="69">
        <v>2912</v>
      </c>
      <c r="I17" s="69">
        <v>2266</v>
      </c>
      <c r="J17" s="69">
        <v>1779</v>
      </c>
      <c r="K17" s="69">
        <v>1497</v>
      </c>
      <c r="L17" s="69">
        <v>1495</v>
      </c>
      <c r="M17" s="69">
        <v>1144</v>
      </c>
      <c r="N17" s="69">
        <v>994</v>
      </c>
      <c r="O17" s="69">
        <v>1550</v>
      </c>
      <c r="P17" s="69">
        <v>1747</v>
      </c>
      <c r="Q17" s="69">
        <v>1462</v>
      </c>
      <c r="R17" s="69">
        <v>1884</v>
      </c>
      <c r="S17" s="69">
        <v>1666</v>
      </c>
      <c r="T17" s="69">
        <v>1827</v>
      </c>
      <c r="U17" s="69">
        <v>1683</v>
      </c>
      <c r="V17" s="69">
        <v>1433</v>
      </c>
      <c r="W17" s="69">
        <v>1127</v>
      </c>
      <c r="X17" s="69">
        <v>1155</v>
      </c>
      <c r="Y17" s="69">
        <v>887</v>
      </c>
      <c r="Z17" s="69">
        <v>926</v>
      </c>
      <c r="AA17" s="69">
        <v>1198</v>
      </c>
      <c r="AB17" s="69">
        <v>1622</v>
      </c>
      <c r="AC17" s="69">
        <v>1424</v>
      </c>
      <c r="AD17" s="69">
        <v>1576</v>
      </c>
      <c r="AE17" s="68">
        <v>1760</v>
      </c>
      <c r="AF17" s="68">
        <v>1479</v>
      </c>
      <c r="AG17" s="68">
        <v>1020</v>
      </c>
      <c r="AH17" s="68">
        <v>739</v>
      </c>
      <c r="AI17" s="68">
        <v>854</v>
      </c>
      <c r="AJ17" s="68">
        <v>847</v>
      </c>
    </row>
    <row r="18" spans="1:36" ht="12.75">
      <c r="A18" s="5">
        <v>17</v>
      </c>
      <c r="B18" s="6" t="s">
        <v>42</v>
      </c>
      <c r="C18" s="7" t="s">
        <v>112</v>
      </c>
      <c r="D18" s="69">
        <v>1825</v>
      </c>
      <c r="E18" s="69">
        <v>1706</v>
      </c>
      <c r="F18" s="69">
        <v>2086</v>
      </c>
      <c r="G18" s="69">
        <v>2101</v>
      </c>
      <c r="H18" s="69">
        <v>2782</v>
      </c>
      <c r="I18" s="69">
        <v>2161</v>
      </c>
      <c r="J18" s="69">
        <v>1440</v>
      </c>
      <c r="K18" s="69">
        <v>1067</v>
      </c>
      <c r="L18" s="69">
        <v>834</v>
      </c>
      <c r="M18" s="69">
        <v>451</v>
      </c>
      <c r="N18" s="69">
        <v>489</v>
      </c>
      <c r="O18" s="69">
        <v>951</v>
      </c>
      <c r="P18" s="69">
        <v>1532</v>
      </c>
      <c r="Q18" s="69">
        <v>1176</v>
      </c>
      <c r="R18" s="69">
        <v>1756</v>
      </c>
      <c r="S18" s="69">
        <v>1724</v>
      </c>
      <c r="T18" s="69">
        <v>1656</v>
      </c>
      <c r="U18" s="69">
        <v>1572</v>
      </c>
      <c r="V18" s="69">
        <v>1088</v>
      </c>
      <c r="W18" s="69">
        <v>961</v>
      </c>
      <c r="X18" s="69">
        <v>1067</v>
      </c>
      <c r="Y18" s="69">
        <v>611</v>
      </c>
      <c r="Z18" s="69">
        <v>560</v>
      </c>
      <c r="AA18" s="69">
        <v>922</v>
      </c>
      <c r="AB18" s="69">
        <v>1809</v>
      </c>
      <c r="AC18" s="69">
        <v>1562</v>
      </c>
      <c r="AD18" s="69">
        <v>1678</v>
      </c>
      <c r="AE18" s="68">
        <v>2204</v>
      </c>
      <c r="AF18" s="68">
        <v>1537</v>
      </c>
      <c r="AG18" s="68">
        <v>912</v>
      </c>
      <c r="AH18" s="68">
        <v>522</v>
      </c>
      <c r="AI18" s="68">
        <v>301</v>
      </c>
      <c r="AJ18" s="68">
        <v>274</v>
      </c>
    </row>
    <row r="19" spans="1:36" ht="12.75">
      <c r="A19" s="5">
        <v>18</v>
      </c>
      <c r="B19" s="6" t="s">
        <v>43</v>
      </c>
      <c r="C19" s="7" t="s">
        <v>112</v>
      </c>
      <c r="D19" s="69">
        <v>519</v>
      </c>
      <c r="E19" s="69">
        <v>493</v>
      </c>
      <c r="F19" s="69">
        <v>518</v>
      </c>
      <c r="G19" s="69">
        <v>516</v>
      </c>
      <c r="H19" s="69">
        <v>472</v>
      </c>
      <c r="I19" s="69">
        <v>555</v>
      </c>
      <c r="J19" s="69">
        <v>508</v>
      </c>
      <c r="K19" s="69">
        <v>480</v>
      </c>
      <c r="L19" s="69">
        <v>409</v>
      </c>
      <c r="M19" s="69">
        <v>411</v>
      </c>
      <c r="N19" s="69">
        <v>495</v>
      </c>
      <c r="O19" s="69">
        <v>511</v>
      </c>
      <c r="P19" s="69">
        <v>552</v>
      </c>
      <c r="Q19" s="69">
        <v>538</v>
      </c>
      <c r="R19" s="69">
        <v>537</v>
      </c>
      <c r="S19" s="69">
        <v>624</v>
      </c>
      <c r="T19" s="69">
        <v>509</v>
      </c>
      <c r="U19" s="69">
        <v>599</v>
      </c>
      <c r="V19" s="69">
        <v>434</v>
      </c>
      <c r="W19" s="69">
        <v>544</v>
      </c>
      <c r="X19" s="69">
        <v>471</v>
      </c>
      <c r="Y19" s="69">
        <v>419</v>
      </c>
      <c r="Z19" s="69">
        <v>491</v>
      </c>
      <c r="AA19" s="69">
        <v>557</v>
      </c>
      <c r="AB19" s="69">
        <v>592</v>
      </c>
      <c r="AC19" s="69">
        <v>551</v>
      </c>
      <c r="AD19" s="69">
        <v>505</v>
      </c>
      <c r="AE19" s="68">
        <v>695</v>
      </c>
      <c r="AF19" s="68">
        <v>554</v>
      </c>
      <c r="AG19" s="68">
        <v>480</v>
      </c>
      <c r="AH19" s="68">
        <v>444</v>
      </c>
      <c r="AI19" s="68">
        <v>506</v>
      </c>
      <c r="AJ19" s="68">
        <v>508</v>
      </c>
    </row>
    <row r="20" spans="1:36" ht="12.75">
      <c r="A20" s="5">
        <v>19</v>
      </c>
      <c r="B20" s="6" t="s">
        <v>44</v>
      </c>
      <c r="C20" s="7" t="s">
        <v>112</v>
      </c>
      <c r="D20" s="69">
        <v>622</v>
      </c>
      <c r="E20" s="69">
        <v>572</v>
      </c>
      <c r="F20" s="69">
        <v>722</v>
      </c>
      <c r="G20" s="69">
        <v>916</v>
      </c>
      <c r="H20" s="69">
        <v>1086</v>
      </c>
      <c r="I20" s="69">
        <v>1056</v>
      </c>
      <c r="J20" s="69">
        <v>690</v>
      </c>
      <c r="K20" s="69">
        <v>574</v>
      </c>
      <c r="L20" s="69">
        <v>430</v>
      </c>
      <c r="M20" s="69">
        <v>262</v>
      </c>
      <c r="N20" s="69">
        <v>258</v>
      </c>
      <c r="O20" s="69">
        <v>471</v>
      </c>
      <c r="P20" s="69">
        <v>555</v>
      </c>
      <c r="Q20" s="69">
        <v>486</v>
      </c>
      <c r="R20" s="69">
        <v>724</v>
      </c>
      <c r="S20" s="69">
        <v>922</v>
      </c>
      <c r="T20" s="69">
        <v>773</v>
      </c>
      <c r="U20" s="69">
        <v>807</v>
      </c>
      <c r="V20" s="69">
        <v>566</v>
      </c>
      <c r="W20" s="69">
        <v>522</v>
      </c>
      <c r="X20" s="69">
        <v>506</v>
      </c>
      <c r="Y20" s="69">
        <v>283</v>
      </c>
      <c r="Z20" s="69">
        <v>309</v>
      </c>
      <c r="AA20" s="69">
        <v>460</v>
      </c>
      <c r="AB20" s="69">
        <v>810</v>
      </c>
      <c r="AC20" s="69">
        <v>784</v>
      </c>
      <c r="AD20" s="69">
        <v>814</v>
      </c>
      <c r="AE20" s="68">
        <v>1432</v>
      </c>
      <c r="AF20" s="68">
        <v>1009</v>
      </c>
      <c r="AG20" s="68">
        <v>766</v>
      </c>
      <c r="AH20" s="68">
        <v>637</v>
      </c>
      <c r="AI20" s="68">
        <v>608</v>
      </c>
      <c r="AJ20" s="68">
        <v>484</v>
      </c>
    </row>
    <row r="21" spans="1:36" ht="12.75">
      <c r="A21" s="5">
        <v>20</v>
      </c>
      <c r="B21" s="6" t="s">
        <v>45</v>
      </c>
      <c r="C21" s="7" t="s">
        <v>112</v>
      </c>
      <c r="D21" s="69">
        <v>754</v>
      </c>
      <c r="E21" s="69">
        <v>860</v>
      </c>
      <c r="F21" s="69">
        <v>1045</v>
      </c>
      <c r="G21" s="69">
        <v>1055</v>
      </c>
      <c r="H21" s="69">
        <v>1307</v>
      </c>
      <c r="I21" s="69">
        <v>1288</v>
      </c>
      <c r="J21" s="69">
        <v>797</v>
      </c>
      <c r="K21" s="69">
        <v>678</v>
      </c>
      <c r="L21" s="69">
        <v>445</v>
      </c>
      <c r="M21" s="69">
        <v>275</v>
      </c>
      <c r="N21" s="69">
        <v>246</v>
      </c>
      <c r="O21" s="69">
        <v>483</v>
      </c>
      <c r="P21" s="69">
        <v>777</v>
      </c>
      <c r="Q21" s="69">
        <v>625</v>
      </c>
      <c r="R21" s="69">
        <v>841</v>
      </c>
      <c r="S21" s="69">
        <v>925</v>
      </c>
      <c r="T21" s="69">
        <v>1002</v>
      </c>
      <c r="U21" s="69">
        <v>892</v>
      </c>
      <c r="V21" s="69">
        <v>632</v>
      </c>
      <c r="W21" s="69">
        <v>499</v>
      </c>
      <c r="X21" s="69">
        <v>440</v>
      </c>
      <c r="Y21" s="69">
        <v>239</v>
      </c>
      <c r="Z21" s="69">
        <v>287</v>
      </c>
      <c r="AA21" s="69">
        <v>520</v>
      </c>
      <c r="AB21" s="69">
        <v>876</v>
      </c>
      <c r="AC21" s="69">
        <v>797</v>
      </c>
      <c r="AD21" s="69">
        <v>883</v>
      </c>
      <c r="AE21" s="68">
        <v>1404</v>
      </c>
      <c r="AF21" s="68">
        <v>1181</v>
      </c>
      <c r="AG21" s="68">
        <v>765</v>
      </c>
      <c r="AH21" s="68">
        <v>636</v>
      </c>
      <c r="AI21" s="68">
        <v>511</v>
      </c>
      <c r="AJ21" s="68">
        <v>483</v>
      </c>
    </row>
    <row r="22" spans="1:36" ht="12.75">
      <c r="A22" s="5">
        <v>21</v>
      </c>
      <c r="B22" s="6" t="s">
        <v>46</v>
      </c>
      <c r="C22" s="7" t="s">
        <v>112</v>
      </c>
      <c r="D22" s="69">
        <v>1547</v>
      </c>
      <c r="E22" s="69">
        <v>1438</v>
      </c>
      <c r="F22" s="69">
        <v>1683</v>
      </c>
      <c r="G22" s="69">
        <v>1777</v>
      </c>
      <c r="H22" s="69">
        <v>1980</v>
      </c>
      <c r="I22" s="69">
        <v>1875</v>
      </c>
      <c r="J22" s="69">
        <v>1563</v>
      </c>
      <c r="K22" s="69">
        <v>1380</v>
      </c>
      <c r="L22" s="69">
        <v>1292</v>
      </c>
      <c r="M22" s="69">
        <v>1228</v>
      </c>
      <c r="N22" s="69">
        <v>1182</v>
      </c>
      <c r="O22" s="69">
        <v>1472</v>
      </c>
      <c r="P22" s="69">
        <v>1632</v>
      </c>
      <c r="Q22" s="69">
        <v>1399</v>
      </c>
      <c r="R22" s="69">
        <v>1863</v>
      </c>
      <c r="S22" s="69">
        <v>1827</v>
      </c>
      <c r="T22" s="69">
        <v>1789</v>
      </c>
      <c r="U22" s="69">
        <v>1676</v>
      </c>
      <c r="V22" s="69">
        <v>1275</v>
      </c>
      <c r="W22" s="69">
        <v>1405</v>
      </c>
      <c r="X22" s="69">
        <v>1393</v>
      </c>
      <c r="Y22" s="69">
        <v>1303</v>
      </c>
      <c r="Z22" s="69">
        <v>1332</v>
      </c>
      <c r="AA22" s="69">
        <v>1496</v>
      </c>
      <c r="AB22" s="69">
        <v>1835</v>
      </c>
      <c r="AC22" s="69">
        <v>1651</v>
      </c>
      <c r="AD22" s="69">
        <v>1581</v>
      </c>
      <c r="AE22" s="68">
        <v>2233</v>
      </c>
      <c r="AF22" s="68">
        <v>1869</v>
      </c>
      <c r="AG22" s="68">
        <v>1569</v>
      </c>
      <c r="AH22" s="68">
        <v>1329</v>
      </c>
      <c r="AI22" s="68">
        <v>1391</v>
      </c>
      <c r="AJ22" s="68">
        <v>1386</v>
      </c>
    </row>
    <row r="23" spans="1:36" ht="12.75">
      <c r="A23" s="5">
        <v>22</v>
      </c>
      <c r="B23" s="6" t="s">
        <v>47</v>
      </c>
      <c r="C23" s="7" t="s">
        <v>112</v>
      </c>
      <c r="D23" s="69">
        <v>802</v>
      </c>
      <c r="E23" s="69">
        <v>699</v>
      </c>
      <c r="F23" s="69">
        <v>580</v>
      </c>
      <c r="G23" s="69">
        <v>639</v>
      </c>
      <c r="H23" s="69">
        <v>487</v>
      </c>
      <c r="I23" s="69">
        <v>638</v>
      </c>
      <c r="J23" s="69">
        <v>616</v>
      </c>
      <c r="K23" s="69">
        <v>646</v>
      </c>
      <c r="L23" s="69">
        <v>735</v>
      </c>
      <c r="M23" s="69">
        <v>787</v>
      </c>
      <c r="N23" s="69">
        <v>693</v>
      </c>
      <c r="O23" s="69">
        <v>804</v>
      </c>
      <c r="P23" s="69">
        <v>618</v>
      </c>
      <c r="Q23" s="69">
        <v>593</v>
      </c>
      <c r="R23" s="69">
        <v>538</v>
      </c>
      <c r="S23" s="69">
        <v>496</v>
      </c>
      <c r="T23" s="69">
        <v>518</v>
      </c>
      <c r="U23" s="69">
        <v>640</v>
      </c>
      <c r="V23" s="69">
        <v>562</v>
      </c>
      <c r="W23" s="69">
        <v>611</v>
      </c>
      <c r="X23" s="69">
        <v>721</v>
      </c>
      <c r="Y23" s="69">
        <v>859</v>
      </c>
      <c r="Z23" s="69">
        <v>837</v>
      </c>
      <c r="AA23" s="69">
        <v>786</v>
      </c>
      <c r="AB23" s="69">
        <v>744</v>
      </c>
      <c r="AC23" s="69">
        <v>649</v>
      </c>
      <c r="AD23" s="69">
        <v>520</v>
      </c>
      <c r="AE23" s="68">
        <v>550</v>
      </c>
      <c r="AF23" s="68">
        <v>459</v>
      </c>
      <c r="AG23" s="68">
        <v>536</v>
      </c>
      <c r="AH23" s="68">
        <v>530</v>
      </c>
      <c r="AI23" s="68">
        <v>526</v>
      </c>
      <c r="AJ23" s="68">
        <v>661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"/>
  <sheetViews>
    <sheetView workbookViewId="0" topLeftCell="A1">
      <selection activeCell="A1" sqref="A1:B16384"/>
    </sheetView>
  </sheetViews>
  <sheetFormatPr defaultColWidth="11.421875" defaultRowHeight="12.75"/>
  <cols>
    <col min="1" max="1" width="21.7109375" style="0" customWidth="1"/>
    <col min="2" max="2" width="28.57421875" style="0" bestFit="1" customWidth="1"/>
    <col min="3" max="3" width="28.57421875" style="0" customWidth="1"/>
  </cols>
  <sheetData>
    <row r="1" spans="1:36" ht="25.5">
      <c r="A1" s="1" t="s">
        <v>79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4">
        <v>38991</v>
      </c>
      <c r="AC1" s="4">
        <v>39022</v>
      </c>
      <c r="AD1" s="65">
        <v>39052</v>
      </c>
      <c r="AE1" s="65">
        <v>39083</v>
      </c>
      <c r="AF1" s="66">
        <v>39114</v>
      </c>
      <c r="AG1" s="66">
        <v>39142</v>
      </c>
      <c r="AH1" s="66">
        <v>39173</v>
      </c>
      <c r="AI1" s="66">
        <v>39203</v>
      </c>
      <c r="AJ1" s="66">
        <v>39234</v>
      </c>
    </row>
    <row r="2" spans="1:30" ht="12.75">
      <c r="A2" s="5">
        <v>1</v>
      </c>
      <c r="B2" s="6" t="s">
        <v>26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D2" s="10"/>
    </row>
    <row r="3" spans="1:27" ht="12.75">
      <c r="A3" s="5">
        <v>2</v>
      </c>
      <c r="B3" s="6" t="s">
        <v>27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2.75">
      <c r="A4" s="5">
        <v>3</v>
      </c>
      <c r="B4" s="6" t="s">
        <v>28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2.75">
      <c r="A5" s="5">
        <v>4</v>
      </c>
      <c r="B5" s="6" t="s">
        <v>29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2.75">
      <c r="A6" s="5">
        <v>5</v>
      </c>
      <c r="B6" s="6" t="s">
        <v>30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5">
        <v>6</v>
      </c>
      <c r="B7" s="6" t="s">
        <v>31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2.75">
      <c r="A8" s="5">
        <v>7</v>
      </c>
      <c r="B8" s="6" t="s">
        <v>32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2.75">
      <c r="A9" s="5">
        <v>8</v>
      </c>
      <c r="B9" s="6" t="s">
        <v>33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2.75">
      <c r="A10" s="5">
        <v>9</v>
      </c>
      <c r="B10" s="6" t="s">
        <v>34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2.75">
      <c r="A11" s="5">
        <v>10</v>
      </c>
      <c r="B11" s="6" t="s">
        <v>35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2.75">
      <c r="A12" s="5">
        <v>11</v>
      </c>
      <c r="B12" s="6" t="s">
        <v>36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2.75">
      <c r="A13" s="5">
        <v>12</v>
      </c>
      <c r="B13" s="6" t="s">
        <v>37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2.75">
      <c r="A14" s="5">
        <v>13</v>
      </c>
      <c r="B14" s="6" t="s">
        <v>38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.75">
      <c r="A15" s="5">
        <v>14</v>
      </c>
      <c r="B15" s="6" t="s">
        <v>39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5.5">
      <c r="A16" s="5">
        <v>15</v>
      </c>
      <c r="B16" s="6" t="s">
        <v>40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.75">
      <c r="A17" s="5">
        <v>16</v>
      </c>
      <c r="B17" s="6" t="s">
        <v>41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2.75">
      <c r="A18" s="5">
        <v>17</v>
      </c>
      <c r="B18" s="6" t="s">
        <v>42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.75">
      <c r="A19" s="5">
        <v>18</v>
      </c>
      <c r="B19" s="6" t="s">
        <v>43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.75">
      <c r="A20" s="5">
        <v>19</v>
      </c>
      <c r="B20" s="6" t="s">
        <v>44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>
      <c r="A21" s="5">
        <v>20</v>
      </c>
      <c r="B21" s="6" t="s">
        <v>45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.75">
      <c r="A22" s="5">
        <v>21</v>
      </c>
      <c r="B22" s="6" t="s">
        <v>46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.75">
      <c r="A23" s="5">
        <v>22</v>
      </c>
      <c r="B23" s="6" t="s">
        <v>47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9"/>
  <sheetViews>
    <sheetView workbookViewId="0" topLeftCell="AF16">
      <selection activeCell="AN16" sqref="AN16"/>
    </sheetView>
  </sheetViews>
  <sheetFormatPr defaultColWidth="11.421875" defaultRowHeight="12.75"/>
  <cols>
    <col min="2" max="2" width="34.7109375" style="0" customWidth="1"/>
  </cols>
  <sheetData>
    <row r="1" spans="1:36" ht="12.75">
      <c r="A1" s="11" t="s">
        <v>48</v>
      </c>
      <c r="B1" s="11" t="s">
        <v>49</v>
      </c>
      <c r="C1" s="12" t="s">
        <v>50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12" t="s">
        <v>56</v>
      </c>
      <c r="J1" s="12" t="s">
        <v>57</v>
      </c>
      <c r="K1" s="12" t="s">
        <v>58</v>
      </c>
      <c r="L1" s="12" t="s">
        <v>59</v>
      </c>
      <c r="M1" s="12" t="s">
        <v>60</v>
      </c>
      <c r="N1" s="12" t="s">
        <v>61</v>
      </c>
      <c r="O1" s="12" t="s">
        <v>62</v>
      </c>
      <c r="P1" s="12" t="s">
        <v>63</v>
      </c>
      <c r="Q1" s="13">
        <v>38657</v>
      </c>
      <c r="R1" s="13">
        <v>38687</v>
      </c>
      <c r="S1" s="13">
        <v>38718</v>
      </c>
      <c r="T1" s="13">
        <v>38749</v>
      </c>
      <c r="U1" s="13">
        <v>38777</v>
      </c>
      <c r="V1" s="13">
        <v>38808</v>
      </c>
      <c r="W1" s="13">
        <v>38838</v>
      </c>
      <c r="X1" s="13">
        <v>38869</v>
      </c>
      <c r="Y1" s="13">
        <v>38899</v>
      </c>
      <c r="Z1" s="13">
        <v>38930</v>
      </c>
      <c r="AA1" s="13">
        <v>38961</v>
      </c>
      <c r="AB1" s="13">
        <v>38991</v>
      </c>
      <c r="AC1" s="13">
        <v>39022</v>
      </c>
      <c r="AD1" s="13">
        <v>39052</v>
      </c>
      <c r="AE1" s="13">
        <v>39083</v>
      </c>
      <c r="AF1" s="13">
        <v>39114</v>
      </c>
      <c r="AG1" s="13">
        <v>39142</v>
      </c>
      <c r="AH1" s="13">
        <v>39173</v>
      </c>
      <c r="AI1" s="13">
        <v>39203</v>
      </c>
      <c r="AJ1" s="13">
        <v>39234</v>
      </c>
    </row>
    <row r="2" spans="1:36" ht="12.75">
      <c r="A2" s="14">
        <v>1</v>
      </c>
      <c r="B2" s="15" t="s">
        <v>26</v>
      </c>
      <c r="C2" s="16" t="s">
        <v>111</v>
      </c>
      <c r="D2" s="16">
        <f>VLOOKUP(1,'tableau entrée 1'!$A$2:$AZ$23,4,FALSE)</f>
        <v>5824</v>
      </c>
      <c r="E2" s="16">
        <f>VLOOKUP(1,'tableau entrée 1'!$A$2:$AZ$23,5,FALSE)</f>
        <v>5339</v>
      </c>
      <c r="F2" s="16">
        <f>VLOOKUP(1,'tableau entrée 1'!$A$2:$AZ$23,6,FALSE)</f>
        <v>6442</v>
      </c>
      <c r="G2" s="16">
        <f>VLOOKUP(1,'tableau entrée 1'!$A$2:$AZ$23,7,FALSE)</f>
        <v>7188</v>
      </c>
      <c r="H2" s="16">
        <f>VLOOKUP(1,'tableau entrée 1'!$A$2:$AZ$23,8,FALSE)</f>
        <v>9678</v>
      </c>
      <c r="I2" s="16">
        <f>VLOOKUP(1,'tableau entrée 1'!$A$2:$AZ$23,9,FALSE)</f>
        <v>7404</v>
      </c>
      <c r="J2" s="16">
        <f>VLOOKUP(1,'tableau entrée 1'!$A$2:$AZ$23,10,FALSE)</f>
        <v>5683</v>
      </c>
      <c r="K2" s="16">
        <f>VLOOKUP(1,'tableau entrée 1'!$A$2:$AZ$23,11,FALSE)</f>
        <v>4617</v>
      </c>
      <c r="L2" s="16">
        <f>VLOOKUP(1,'tableau entrée 1'!$A$2:$AZ$23,12,FALSE)</f>
        <v>4765</v>
      </c>
      <c r="M2" s="16">
        <f>VLOOKUP(1,'tableau entrée 1'!$A$2:$AZ$23,13,FALSE)</f>
        <v>3749</v>
      </c>
      <c r="N2" s="16">
        <f>VLOOKUP(1,'tableau entrée 1'!$A$2:$AZ$23,14,FALSE)</f>
        <v>3242</v>
      </c>
      <c r="O2" s="16">
        <f>VLOOKUP(1,'tableau entrée 1'!$A$2:$AZ$23,15,FALSE)</f>
        <v>5200</v>
      </c>
      <c r="P2" s="16">
        <f>VLOOKUP(1,'tableau entrée 1'!$A$2:$AZ$23,16,FALSE)</f>
        <v>6318</v>
      </c>
      <c r="Q2" s="16">
        <f>VLOOKUP(1,'tableau entrée 1'!$A$2:$AZ$23,17,FALSE)</f>
        <v>6471</v>
      </c>
      <c r="R2" s="16">
        <f>VLOOKUP(1,'tableau entrée 1'!$A$2:$AZ$23,18,FALSE)</f>
        <v>9042</v>
      </c>
      <c r="S2" s="16">
        <f>VLOOKUP(1,'tableau entrée 1'!$A$2:$AZ$23,19,FALSE)</f>
        <v>7628</v>
      </c>
      <c r="T2" s="16">
        <f>VLOOKUP(1,'tableau entrée 1'!$A$2:$AZ$23,20,FALSE)</f>
        <v>8687</v>
      </c>
      <c r="U2" s="16">
        <f>VLOOKUP(1,'tableau entrée 1'!$A$2:$AZ$23,21,FALSE)</f>
        <v>7730</v>
      </c>
      <c r="V2" s="16">
        <f>VLOOKUP(1,'tableau entrée 1'!$A$2:$AZ$23,22,FALSE)</f>
        <v>6660</v>
      </c>
      <c r="W2" s="16">
        <f>VLOOKUP(1,'tableau entrée 1'!$A$2:$AZ$23,23,FALSE)</f>
        <v>5513</v>
      </c>
      <c r="X2" s="16">
        <f>VLOOKUP(1,'tableau entrée 1'!$A$2:$AZ$23,24,FALSE)</f>
        <v>5625</v>
      </c>
      <c r="Y2" s="16">
        <f>VLOOKUP(1,'tableau entrée 1'!$A$2:$AZ$23,25,FALSE)</f>
        <v>4384</v>
      </c>
      <c r="Z2" s="16">
        <f>VLOOKUP(1,'tableau entrée 1'!$A$2:$AZ$23,26,FALSE)</f>
        <v>3929</v>
      </c>
      <c r="AA2" s="16">
        <f>VLOOKUP(1,'tableau entrée 1'!$A$2:$AZ$23,27,FALSE)</f>
        <v>5606</v>
      </c>
      <c r="AB2" s="16">
        <f>VLOOKUP(1,'tableau entrée 1'!$A$2:$AZ$23,28,FALSE)</f>
        <v>7785</v>
      </c>
      <c r="AC2" s="16">
        <f>VLOOKUP(1,'tableau entrée 1'!$A$2:$AZ$23,29,FALSE)</f>
        <v>6678</v>
      </c>
      <c r="AD2" s="16">
        <f>VLOOKUP(1,'tableau entrée 1'!$A$2:$AZ$23,30,FALSE)</f>
        <v>7873</v>
      </c>
      <c r="AE2" s="16">
        <f>VLOOKUP(1,'tableau entrée 1'!$A$2:$AZ$23,31,FALSE)</f>
        <v>12296</v>
      </c>
      <c r="AF2" s="16">
        <f>VLOOKUP(1,'tableau entrée 1'!$A$2:$AZ$23,32,FALSE)</f>
        <v>13073</v>
      </c>
      <c r="AG2" s="16">
        <f>VLOOKUP(1,'tableau entrée 1'!$A$2:$AZ$23,33,FALSE)</f>
        <v>9548</v>
      </c>
      <c r="AH2" s="16">
        <f>VLOOKUP(1,'tableau entrée 1'!$A$2:$AZ$23,34,FALSE)</f>
        <v>7798</v>
      </c>
      <c r="AI2" s="16">
        <f>VLOOKUP(1,'tableau entrée 1'!$A$2:$AZ$23,35,FALSE)</f>
        <v>8765</v>
      </c>
      <c r="AJ2" s="16">
        <f>VLOOKUP(1,'tableau entrée 1'!$A$2:$AZ$23,36,FALSE)</f>
        <v>8198</v>
      </c>
    </row>
    <row r="3" spans="1:36" ht="12.75">
      <c r="A3" s="14">
        <v>2</v>
      </c>
      <c r="B3" s="15" t="s">
        <v>27</v>
      </c>
      <c r="C3" s="16" t="s">
        <v>111</v>
      </c>
      <c r="D3" s="16">
        <f>VLOOKUP(2,'tableau entrée 1'!$A$2:$AZ$23,4,FALSE)</f>
        <v>4746</v>
      </c>
      <c r="E3" s="16">
        <f>VLOOKUP(2,'tableau entrée 1'!$A$2:$AZ$23,5,FALSE)</f>
        <v>4300</v>
      </c>
      <c r="F3" s="16">
        <f>VLOOKUP(2,'tableau entrée 1'!$A$2:$AZ$23,6,FALSE)</f>
        <v>5340</v>
      </c>
      <c r="G3" s="16">
        <f>VLOOKUP(2,'tableau entrée 1'!$A$2:$AZ$23,7,FALSE)</f>
        <v>5976</v>
      </c>
      <c r="H3" s="16">
        <f>VLOOKUP(2,'tableau entrée 1'!$A$2:$AZ$23,8,FALSE)</f>
        <v>7561</v>
      </c>
      <c r="I3" s="16">
        <f>VLOOKUP(2,'tableau entrée 1'!$A$2:$AZ$23,9,FALSE)</f>
        <v>6727</v>
      </c>
      <c r="J3" s="16">
        <f>VLOOKUP(2,'tableau entrée 1'!$A$2:$AZ$23,10,FALSE)</f>
        <v>5656</v>
      </c>
      <c r="K3" s="16">
        <f>VLOOKUP(2,'tableau entrée 1'!$A$2:$AZ$23,11,FALSE)</f>
        <v>4377</v>
      </c>
      <c r="L3" s="16">
        <f>VLOOKUP(2,'tableau entrée 1'!$A$2:$AZ$23,12,FALSE)</f>
        <v>4226</v>
      </c>
      <c r="M3" s="16">
        <f>VLOOKUP(2,'tableau entrée 1'!$A$2:$AZ$23,13,FALSE)</f>
        <v>3477</v>
      </c>
      <c r="N3" s="16">
        <f>VLOOKUP(2,'tableau entrée 1'!$A$2:$AZ$23,14,FALSE)</f>
        <v>3213</v>
      </c>
      <c r="O3" s="16">
        <f>VLOOKUP(2,'tableau entrée 1'!$A$2:$AZ$23,15,FALSE)</f>
        <v>4291</v>
      </c>
      <c r="P3" s="16">
        <f>VLOOKUP(2,'tableau entrée 1'!$A$2:$AZ$23,16,FALSE)</f>
        <v>5045</v>
      </c>
      <c r="Q3" s="16">
        <f>VLOOKUP(2,'tableau entrée 1'!$A$2:$AZ$23,17,FALSE)</f>
        <v>4810</v>
      </c>
      <c r="R3" s="16">
        <f>VLOOKUP(2,'tableau entrée 1'!$A$2:$AZ$23,18,FALSE)</f>
        <v>7090</v>
      </c>
      <c r="S3" s="16">
        <f>VLOOKUP(2,'tableau entrée 1'!$A$2:$AZ$23,19,FALSE)</f>
        <v>6546</v>
      </c>
      <c r="T3" s="16">
        <f>VLOOKUP(2,'tableau entrée 1'!$A$2:$AZ$23,20,FALSE)</f>
        <v>7217</v>
      </c>
      <c r="U3" s="16">
        <f>VLOOKUP(2,'tableau entrée 1'!$A$2:$AZ$23,21,FALSE)</f>
        <v>6254</v>
      </c>
      <c r="V3" s="16">
        <f>VLOOKUP(2,'tableau entrée 1'!$A$2:$AZ$23,22,FALSE)</f>
        <v>5384</v>
      </c>
      <c r="W3" s="16">
        <f>VLOOKUP(2,'tableau entrée 1'!$A$2:$AZ$23,23,FALSE)</f>
        <v>4660</v>
      </c>
      <c r="X3" s="16">
        <f>VLOOKUP(2,'tableau entrée 1'!$A$2:$AZ$23,24,FALSE)</f>
        <v>4481</v>
      </c>
      <c r="Y3" s="16">
        <f>VLOOKUP(2,'tableau entrée 1'!$A$2:$AZ$23,25,FALSE)</f>
        <v>3816</v>
      </c>
      <c r="Z3" s="16">
        <f>VLOOKUP(2,'tableau entrée 1'!$A$2:$AZ$23,26,FALSE)</f>
        <v>4040</v>
      </c>
      <c r="AA3" s="16">
        <f>VLOOKUP(2,'tableau entrée 1'!$A$2:$AZ$23,27,FALSE)</f>
        <v>4321</v>
      </c>
      <c r="AB3" s="16">
        <f>VLOOKUP(2,'tableau entrée 1'!$A$2:$AZ$23,28,FALSE)</f>
        <v>6131</v>
      </c>
      <c r="AC3" s="16">
        <f>VLOOKUP(2,'tableau entrée 1'!$A$2:$AZ$23,29,FALSE)</f>
        <v>5422</v>
      </c>
      <c r="AD3" s="16">
        <f>VLOOKUP(2,'tableau entrée 1'!$A$2:$AZ$23,30,FALSE)</f>
        <v>6312</v>
      </c>
      <c r="AE3" s="16">
        <f>VLOOKUP(2,'tableau entrée 1'!$A$2:$AZ$23,31,FALSE)</f>
        <v>10031</v>
      </c>
      <c r="AF3" s="16">
        <f>VLOOKUP(2,'tableau entrée 1'!$A$2:$AZ$23,32,FALSE)</f>
        <v>9510</v>
      </c>
      <c r="AG3" s="16">
        <f>VLOOKUP(2,'tableau entrée 1'!$A$2:$AZ$23,33,FALSE)</f>
        <v>6797</v>
      </c>
      <c r="AH3" s="16">
        <f>VLOOKUP(2,'tableau entrée 1'!$A$2:$AZ$23,34,FALSE)</f>
        <v>5715</v>
      </c>
      <c r="AI3" s="16">
        <f>VLOOKUP(2,'tableau entrée 1'!$A$2:$AZ$23,35,FALSE)</f>
        <v>6054</v>
      </c>
      <c r="AJ3" s="16">
        <f>VLOOKUP(2,'tableau entrée 1'!$A$2:$AZ$23,36,FALSE)</f>
        <v>5247</v>
      </c>
    </row>
    <row r="4" spans="1:36" ht="12.75">
      <c r="A4" s="14">
        <v>3</v>
      </c>
      <c r="B4" s="15" t="s">
        <v>28</v>
      </c>
      <c r="C4" s="16" t="s">
        <v>111</v>
      </c>
      <c r="D4" s="16">
        <f>VLOOKUP(3,'tableau entrée 1'!$A$2:$AZ$23,4,FALSE)</f>
        <v>274</v>
      </c>
      <c r="E4" s="16">
        <f>VLOOKUP(3,'tableau entrée 1'!$A$2:$AZ$23,5,FALSE)</f>
        <v>234</v>
      </c>
      <c r="F4" s="16">
        <f>VLOOKUP(3,'tableau entrée 1'!$A$2:$AZ$23,6,FALSE)</f>
        <v>224</v>
      </c>
      <c r="G4" s="16">
        <f>VLOOKUP(3,'tableau entrée 1'!$A$2:$AZ$23,7,FALSE)</f>
        <v>198</v>
      </c>
      <c r="H4" s="16">
        <f>VLOOKUP(3,'tableau entrée 1'!$A$2:$AZ$23,8,FALSE)</f>
        <v>174</v>
      </c>
      <c r="I4" s="16">
        <f>VLOOKUP(3,'tableau entrée 1'!$A$2:$AZ$23,9,FALSE)</f>
        <v>233</v>
      </c>
      <c r="J4" s="16">
        <f>VLOOKUP(3,'tableau entrée 1'!$A$2:$AZ$23,10,FALSE)</f>
        <v>219</v>
      </c>
      <c r="K4" s="16">
        <f>VLOOKUP(3,'tableau entrée 1'!$A$2:$AZ$23,11,FALSE)</f>
        <v>238</v>
      </c>
      <c r="L4" s="16">
        <f>VLOOKUP(3,'tableau entrée 1'!$A$2:$AZ$23,12,FALSE)</f>
        <v>254</v>
      </c>
      <c r="M4" s="16">
        <f>VLOOKUP(3,'tableau entrée 1'!$A$2:$AZ$23,13,FALSE)</f>
        <v>313</v>
      </c>
      <c r="N4" s="16">
        <f>VLOOKUP(3,'tableau entrée 1'!$A$2:$AZ$23,14,FALSE)</f>
        <v>289</v>
      </c>
      <c r="O4" s="16">
        <f>VLOOKUP(3,'tableau entrée 1'!$A$2:$AZ$23,15,FALSE)</f>
        <v>313</v>
      </c>
      <c r="P4" s="16">
        <f>VLOOKUP(3,'tableau entrée 1'!$A$2:$AZ$23,16,FALSE)</f>
        <v>187</v>
      </c>
      <c r="Q4" s="16">
        <f>VLOOKUP(3,'tableau entrée 1'!$A$2:$AZ$23,17,FALSE)</f>
        <v>198</v>
      </c>
      <c r="R4" s="16">
        <f>VLOOKUP(3,'tableau entrée 1'!$A$2:$AZ$23,18,FALSE)</f>
        <v>221</v>
      </c>
      <c r="S4" s="16">
        <f>VLOOKUP(3,'tableau entrée 1'!$A$2:$AZ$23,19,FALSE)</f>
        <v>207</v>
      </c>
      <c r="T4" s="16">
        <f>VLOOKUP(3,'tableau entrée 1'!$A$2:$AZ$23,20,FALSE)</f>
        <v>206</v>
      </c>
      <c r="U4" s="16">
        <f>VLOOKUP(3,'tableau entrée 1'!$A$2:$AZ$23,21,FALSE)</f>
        <v>297</v>
      </c>
      <c r="V4" s="16">
        <f>VLOOKUP(3,'tableau entrée 1'!$A$2:$AZ$23,22,FALSE)</f>
        <v>216</v>
      </c>
      <c r="W4" s="16">
        <f>VLOOKUP(3,'tableau entrée 1'!$A$2:$AZ$23,23,FALSE)</f>
        <v>276</v>
      </c>
      <c r="X4" s="16">
        <f>VLOOKUP(3,'tableau entrée 1'!$A$2:$AZ$23,24,FALSE)</f>
        <v>314</v>
      </c>
      <c r="Y4" s="16">
        <f>VLOOKUP(3,'tableau entrée 1'!$A$2:$AZ$23,25,FALSE)</f>
        <v>351</v>
      </c>
      <c r="Z4" s="16">
        <f>VLOOKUP(3,'tableau entrée 1'!$A$2:$AZ$23,26,FALSE)</f>
        <v>399</v>
      </c>
      <c r="AA4" s="16">
        <f>VLOOKUP(3,'tableau entrée 1'!$A$2:$AZ$23,27,FALSE)</f>
        <v>288</v>
      </c>
      <c r="AB4" s="16">
        <f>VLOOKUP(3,'tableau entrée 1'!$A$2:$AZ$23,28,FALSE)</f>
        <v>251</v>
      </c>
      <c r="AC4" s="16">
        <f>VLOOKUP(3,'tableau entrée 1'!$A$2:$AZ$23,29,FALSE)</f>
        <v>228</v>
      </c>
      <c r="AD4" s="16">
        <f>VLOOKUP(3,'tableau entrée 1'!$A$2:$AZ$23,30,FALSE)</f>
        <v>202</v>
      </c>
      <c r="AE4" s="16">
        <f>VLOOKUP(3,'tableau entrée 1'!$A$2:$AZ$23,31,FALSE)</f>
        <v>241</v>
      </c>
      <c r="AF4" s="16">
        <f>VLOOKUP(3,'tableau entrée 1'!$A$2:$AZ$23,32,FALSE)</f>
        <v>173</v>
      </c>
      <c r="AG4" s="16">
        <f>VLOOKUP(3,'tableau entrée 1'!$A$2:$AZ$23,33,FALSE)</f>
        <v>219</v>
      </c>
      <c r="AH4" s="16">
        <f>VLOOKUP(3,'tableau entrée 1'!$A$2:$AZ$23,34,FALSE)</f>
        <v>189</v>
      </c>
      <c r="AI4" s="16">
        <f>VLOOKUP(3,'tableau entrée 1'!$A$2:$AZ$23,35,FALSE)</f>
        <v>282</v>
      </c>
      <c r="AJ4" s="16">
        <f>VLOOKUP(3,'tableau entrée 1'!$A$2:$AZ$23,36,FALSE)</f>
        <v>300</v>
      </c>
    </row>
    <row r="5" spans="1:36" ht="12.75">
      <c r="A5" s="14">
        <v>4</v>
      </c>
      <c r="B5" s="15" t="s">
        <v>29</v>
      </c>
      <c r="C5" s="16" t="s">
        <v>111</v>
      </c>
      <c r="D5" s="16">
        <f>VLOOKUP(4,'tableau entrée 1'!$A$2:$AZ$23,4,FALSE)</f>
        <v>437</v>
      </c>
      <c r="E5" s="16">
        <f>VLOOKUP(4,'tableau entrée 1'!$A$2:$AZ$23,5,FALSE)</f>
        <v>388</v>
      </c>
      <c r="F5" s="16">
        <f>VLOOKUP(4,'tableau entrée 1'!$A$2:$AZ$23,6,FALSE)</f>
        <v>381</v>
      </c>
      <c r="G5" s="16">
        <f>VLOOKUP(4,'tableau entrée 1'!$A$2:$AZ$23,7,FALSE)</f>
        <v>335</v>
      </c>
      <c r="H5" s="16">
        <f>VLOOKUP(4,'tableau entrée 1'!$A$2:$AZ$23,8,FALSE)</f>
        <v>277</v>
      </c>
      <c r="I5" s="16">
        <f>VLOOKUP(4,'tableau entrée 1'!$A$2:$AZ$23,9,FALSE)</f>
        <v>372</v>
      </c>
      <c r="J5" s="16">
        <f>VLOOKUP(4,'tableau entrée 1'!$A$2:$AZ$23,10,FALSE)</f>
        <v>405</v>
      </c>
      <c r="K5" s="16">
        <f>VLOOKUP(4,'tableau entrée 1'!$A$2:$AZ$23,11,FALSE)</f>
        <v>410</v>
      </c>
      <c r="L5" s="16">
        <f>VLOOKUP(4,'tableau entrée 1'!$A$2:$AZ$23,12,FALSE)</f>
        <v>537</v>
      </c>
      <c r="M5" s="16">
        <f>VLOOKUP(4,'tableau entrée 1'!$A$2:$AZ$23,13,FALSE)</f>
        <v>563</v>
      </c>
      <c r="N5" s="16">
        <f>VLOOKUP(4,'tableau entrée 1'!$A$2:$AZ$23,14,FALSE)</f>
        <v>515</v>
      </c>
      <c r="O5" s="16">
        <f>VLOOKUP(4,'tableau entrée 1'!$A$2:$AZ$23,15,FALSE)</f>
        <v>551</v>
      </c>
      <c r="P5" s="16">
        <f>VLOOKUP(4,'tableau entrée 1'!$A$2:$AZ$23,16,FALSE)</f>
        <v>510</v>
      </c>
      <c r="Q5" s="16">
        <f>VLOOKUP(4,'tableau entrée 1'!$A$2:$AZ$23,17,FALSE)</f>
        <v>528</v>
      </c>
      <c r="R5" s="16">
        <f>VLOOKUP(4,'tableau entrée 1'!$A$2:$AZ$23,18,FALSE)</f>
        <v>503</v>
      </c>
      <c r="S5" s="16">
        <f>VLOOKUP(4,'tableau entrée 1'!$A$2:$AZ$23,19,FALSE)</f>
        <v>392</v>
      </c>
      <c r="T5" s="16">
        <f>VLOOKUP(4,'tableau entrée 1'!$A$2:$AZ$23,20,FALSE)</f>
        <v>387</v>
      </c>
      <c r="U5" s="16">
        <f>VLOOKUP(4,'tableau entrée 1'!$A$2:$AZ$23,21,FALSE)</f>
        <v>461</v>
      </c>
      <c r="V5" s="16">
        <f>VLOOKUP(4,'tableau entrée 1'!$A$2:$AZ$23,22,FALSE)</f>
        <v>403</v>
      </c>
      <c r="W5" s="16">
        <f>VLOOKUP(4,'tableau entrée 1'!$A$2:$AZ$23,23,FALSE)</f>
        <v>463</v>
      </c>
      <c r="X5" s="16">
        <f>VLOOKUP(4,'tableau entrée 1'!$A$2:$AZ$23,24,FALSE)</f>
        <v>558</v>
      </c>
      <c r="Y5" s="16">
        <f>VLOOKUP(4,'tableau entrée 1'!$A$2:$AZ$23,25,FALSE)</f>
        <v>604</v>
      </c>
      <c r="Z5" s="16">
        <f>VLOOKUP(4,'tableau entrée 1'!$A$2:$AZ$23,26,FALSE)</f>
        <v>506</v>
      </c>
      <c r="AA5" s="16">
        <f>VLOOKUP(4,'tableau entrée 1'!$A$2:$AZ$23,27,FALSE)</f>
        <v>552</v>
      </c>
      <c r="AB5" s="16">
        <f>VLOOKUP(4,'tableau entrée 1'!$A$2:$AZ$23,28,FALSE)</f>
        <v>574</v>
      </c>
      <c r="AC5" s="16">
        <f>VLOOKUP(4,'tableau entrée 1'!$A$2:$AZ$23,29,FALSE)</f>
        <v>445</v>
      </c>
      <c r="AD5" s="16">
        <f>VLOOKUP(4,'tableau entrée 1'!$A$2:$AZ$23,30,FALSE)</f>
        <v>426</v>
      </c>
      <c r="AE5" s="16">
        <f>VLOOKUP(4,'tableau entrée 1'!$A$2:$AZ$23,31,FALSE)</f>
        <v>403</v>
      </c>
      <c r="AF5" s="16">
        <f>VLOOKUP(4,'tableau entrée 1'!$A$2:$AZ$23,32,FALSE)</f>
        <v>337</v>
      </c>
      <c r="AG5" s="16">
        <f>VLOOKUP(4,'tableau entrée 1'!$A$2:$AZ$23,33,FALSE)</f>
        <v>450</v>
      </c>
      <c r="AH5" s="16">
        <f>VLOOKUP(4,'tableau entrée 1'!$A$2:$AZ$23,34,FALSE)</f>
        <v>375</v>
      </c>
      <c r="AI5" s="16">
        <f>VLOOKUP(4,'tableau entrée 1'!$A$2:$AZ$23,35,FALSE)</f>
        <v>488</v>
      </c>
      <c r="AJ5" s="16">
        <f>VLOOKUP(4,'tableau entrée 1'!$A$2:$AZ$23,36,FALSE)</f>
        <v>530</v>
      </c>
    </row>
    <row r="6" spans="1:36" ht="12.75">
      <c r="A6" s="14">
        <v>5</v>
      </c>
      <c r="B6" s="15" t="s">
        <v>30</v>
      </c>
      <c r="C6" s="16" t="s">
        <v>111</v>
      </c>
      <c r="D6" s="16">
        <f>VLOOKUP(5,'tableau entrée 1'!$A$2:$AZ$23,4,FALSE)</f>
        <v>377</v>
      </c>
      <c r="E6" s="16">
        <f>VLOOKUP(5,'tableau entrée 1'!$A$2:$AZ$23,5,FALSE)</f>
        <v>358</v>
      </c>
      <c r="F6" s="16">
        <f>VLOOKUP(5,'tableau entrée 1'!$A$2:$AZ$23,6,FALSE)</f>
        <v>410</v>
      </c>
      <c r="G6" s="16">
        <f>VLOOKUP(5,'tableau entrée 1'!$A$2:$AZ$23,7,FALSE)</f>
        <v>554</v>
      </c>
      <c r="H6" s="16">
        <f>VLOOKUP(5,'tableau entrée 1'!$A$2:$AZ$23,8,FALSE)</f>
        <v>653</v>
      </c>
      <c r="I6" s="16">
        <f>VLOOKUP(5,'tableau entrée 1'!$A$2:$AZ$23,9,FALSE)</f>
        <v>451</v>
      </c>
      <c r="J6" s="16">
        <f>VLOOKUP(5,'tableau entrée 1'!$A$2:$AZ$23,10,FALSE)</f>
        <v>330</v>
      </c>
      <c r="K6" s="16">
        <f>VLOOKUP(5,'tableau entrée 1'!$A$2:$AZ$23,11,FALSE)</f>
        <v>222</v>
      </c>
      <c r="L6" s="16">
        <f>VLOOKUP(5,'tableau entrée 1'!$A$2:$AZ$23,12,FALSE)</f>
        <v>204</v>
      </c>
      <c r="M6" s="16">
        <f>VLOOKUP(5,'tableau entrée 1'!$A$2:$AZ$23,13,FALSE)</f>
        <v>130</v>
      </c>
      <c r="N6" s="16">
        <f>VLOOKUP(5,'tableau entrée 1'!$A$2:$AZ$23,14,FALSE)</f>
        <v>146</v>
      </c>
      <c r="O6" s="16">
        <f>VLOOKUP(5,'tableau entrée 1'!$A$2:$AZ$23,15,FALSE)</f>
        <v>279</v>
      </c>
      <c r="P6" s="16">
        <f>VLOOKUP(5,'tableau entrée 1'!$A$2:$AZ$23,16,FALSE)</f>
        <v>317</v>
      </c>
      <c r="Q6" s="16">
        <f>VLOOKUP(5,'tableau entrée 1'!$A$2:$AZ$23,17,FALSE)</f>
        <v>285</v>
      </c>
      <c r="R6" s="16">
        <f>VLOOKUP(5,'tableau entrée 1'!$A$2:$AZ$23,18,FALSE)</f>
        <v>506</v>
      </c>
      <c r="S6" s="16">
        <f>VLOOKUP(5,'tableau entrée 1'!$A$2:$AZ$23,19,FALSE)</f>
        <v>406</v>
      </c>
      <c r="T6" s="16">
        <f>VLOOKUP(5,'tableau entrée 1'!$A$2:$AZ$23,20,FALSE)</f>
        <v>552</v>
      </c>
      <c r="U6" s="16">
        <f>VLOOKUP(5,'tableau entrée 1'!$A$2:$AZ$23,21,FALSE)</f>
        <v>420</v>
      </c>
      <c r="V6" s="16">
        <f>VLOOKUP(5,'tableau entrée 1'!$A$2:$AZ$23,22,FALSE)</f>
        <v>285</v>
      </c>
      <c r="W6" s="16">
        <f>VLOOKUP(5,'tableau entrée 1'!$A$2:$AZ$23,23,FALSE)</f>
        <v>233</v>
      </c>
      <c r="X6" s="16">
        <f>VLOOKUP(5,'tableau entrée 1'!$A$2:$AZ$23,24,FALSE)</f>
        <v>223</v>
      </c>
      <c r="Y6" s="16">
        <f>VLOOKUP(5,'tableau entrée 1'!$A$2:$AZ$23,25,FALSE)</f>
        <v>185</v>
      </c>
      <c r="Z6" s="16">
        <f>VLOOKUP(5,'tableau entrée 1'!$A$2:$AZ$23,26,FALSE)</f>
        <v>196</v>
      </c>
      <c r="AA6" s="16">
        <f>VLOOKUP(5,'tableau entrée 1'!$A$2:$AZ$23,27,FALSE)</f>
        <v>217</v>
      </c>
      <c r="AB6" s="16">
        <f>VLOOKUP(5,'tableau entrée 1'!$A$2:$AZ$23,28,FALSE)</f>
        <v>362</v>
      </c>
      <c r="AC6" s="16">
        <f>VLOOKUP(5,'tableau entrée 1'!$A$2:$AZ$23,29,FALSE)</f>
        <v>317</v>
      </c>
      <c r="AD6" s="16">
        <f>VLOOKUP(5,'tableau entrée 1'!$A$2:$AZ$23,30,FALSE)</f>
        <v>408</v>
      </c>
      <c r="AE6" s="16">
        <f>VLOOKUP(5,'tableau entrée 1'!$A$2:$AZ$23,31,FALSE)</f>
        <v>560</v>
      </c>
      <c r="AF6" s="16">
        <f>VLOOKUP(5,'tableau entrée 1'!$A$2:$AZ$23,32,FALSE)</f>
        <v>430</v>
      </c>
      <c r="AG6" s="16">
        <f>VLOOKUP(5,'tableau entrée 1'!$A$2:$AZ$23,33,FALSE)</f>
        <v>300</v>
      </c>
      <c r="AH6" s="16">
        <f>VLOOKUP(5,'tableau entrée 1'!$A$2:$AZ$23,34,FALSE)</f>
        <v>153</v>
      </c>
      <c r="AI6" s="16">
        <f>VLOOKUP(5,'tableau entrée 1'!$A$2:$AZ$23,35,FALSE)</f>
        <v>195</v>
      </c>
      <c r="AJ6" s="16">
        <f>VLOOKUP(5,'tableau entrée 1'!$A$2:$AZ$23,36,FALSE)</f>
        <v>184</v>
      </c>
    </row>
    <row r="7" spans="1:36" ht="12.75">
      <c r="A7" s="14">
        <v>6</v>
      </c>
      <c r="B7" s="15" t="s">
        <v>31</v>
      </c>
      <c r="C7" s="16" t="s">
        <v>111</v>
      </c>
      <c r="D7" s="16">
        <f>VLOOKUP(6,'tableau entrée 1'!$A$2:$AZ$23,4,FALSE)</f>
        <v>474</v>
      </c>
      <c r="E7" s="16">
        <f>VLOOKUP(6,'tableau entrée 1'!$A$2:$AZ$23,5,FALSE)</f>
        <v>416</v>
      </c>
      <c r="F7" s="16">
        <f>VLOOKUP(6,'tableau entrée 1'!$A$2:$AZ$23,6,FALSE)</f>
        <v>452</v>
      </c>
      <c r="G7" s="16">
        <f>VLOOKUP(6,'tableau entrée 1'!$A$2:$AZ$23,7,FALSE)</f>
        <v>592</v>
      </c>
      <c r="H7" s="16">
        <f>VLOOKUP(6,'tableau entrée 1'!$A$2:$AZ$23,8,FALSE)</f>
        <v>779</v>
      </c>
      <c r="I7" s="16">
        <f>VLOOKUP(6,'tableau entrée 1'!$A$2:$AZ$23,9,FALSE)</f>
        <v>523</v>
      </c>
      <c r="J7" s="16">
        <f>VLOOKUP(6,'tableau entrée 1'!$A$2:$AZ$23,10,FALSE)</f>
        <v>429</v>
      </c>
      <c r="K7" s="16">
        <f>VLOOKUP(6,'tableau entrée 1'!$A$2:$AZ$23,11,FALSE)</f>
        <v>280</v>
      </c>
      <c r="L7" s="16">
        <f>VLOOKUP(6,'tableau entrée 1'!$A$2:$AZ$23,12,FALSE)</f>
        <v>257</v>
      </c>
      <c r="M7" s="16">
        <f>VLOOKUP(6,'tableau entrée 1'!$A$2:$AZ$23,13,FALSE)</f>
        <v>179</v>
      </c>
      <c r="N7" s="16">
        <f>VLOOKUP(6,'tableau entrée 1'!$A$2:$AZ$23,14,FALSE)</f>
        <v>130</v>
      </c>
      <c r="O7" s="16">
        <f>VLOOKUP(6,'tableau entrée 1'!$A$2:$AZ$23,15,FALSE)</f>
        <v>272</v>
      </c>
      <c r="P7" s="16">
        <f>VLOOKUP(6,'tableau entrée 1'!$A$2:$AZ$23,16,FALSE)</f>
        <v>408</v>
      </c>
      <c r="Q7" s="16">
        <f>VLOOKUP(6,'tableau entrée 1'!$A$2:$AZ$23,17,FALSE)</f>
        <v>343</v>
      </c>
      <c r="R7" s="16">
        <f>VLOOKUP(6,'tableau entrée 1'!$A$2:$AZ$23,18,FALSE)</f>
        <v>510</v>
      </c>
      <c r="S7" s="16">
        <f>VLOOKUP(6,'tableau entrée 1'!$A$2:$AZ$23,19,FALSE)</f>
        <v>386</v>
      </c>
      <c r="T7" s="16">
        <f>VLOOKUP(6,'tableau entrée 1'!$A$2:$AZ$23,20,FALSE)</f>
        <v>480</v>
      </c>
      <c r="U7" s="16">
        <f>VLOOKUP(6,'tableau entrée 1'!$A$2:$AZ$23,21,FALSE)</f>
        <v>390</v>
      </c>
      <c r="V7" s="16">
        <f>VLOOKUP(6,'tableau entrée 1'!$A$2:$AZ$23,22,FALSE)</f>
        <v>299</v>
      </c>
      <c r="W7" s="16">
        <f>VLOOKUP(6,'tableau entrée 1'!$A$2:$AZ$23,23,FALSE)</f>
        <v>222</v>
      </c>
      <c r="X7" s="16">
        <f>VLOOKUP(6,'tableau entrée 1'!$A$2:$AZ$23,24,FALSE)</f>
        <v>241</v>
      </c>
      <c r="Y7" s="16">
        <f>VLOOKUP(6,'tableau entrée 1'!$A$2:$AZ$23,25,FALSE)</f>
        <v>151</v>
      </c>
      <c r="Z7" s="16">
        <f>VLOOKUP(6,'tableau entrée 1'!$A$2:$AZ$23,26,FALSE)</f>
        <v>104</v>
      </c>
      <c r="AA7" s="16">
        <f>VLOOKUP(6,'tableau entrée 1'!$A$2:$AZ$23,27,FALSE)</f>
        <v>212</v>
      </c>
      <c r="AB7" s="16">
        <f>VLOOKUP(6,'tableau entrée 1'!$A$2:$AZ$23,28,FALSE)</f>
        <v>304</v>
      </c>
      <c r="AC7" s="16">
        <f>VLOOKUP(6,'tableau entrée 1'!$A$2:$AZ$23,29,FALSE)</f>
        <v>160</v>
      </c>
      <c r="AD7" s="16">
        <f>VLOOKUP(6,'tableau entrée 1'!$A$2:$AZ$23,30,FALSE)</f>
        <v>177</v>
      </c>
      <c r="AE7" s="16">
        <f>VLOOKUP(6,'tableau entrée 1'!$A$2:$AZ$23,31,FALSE)</f>
        <v>218</v>
      </c>
      <c r="AF7" s="16">
        <f>VLOOKUP(6,'tableau entrée 1'!$A$2:$AZ$23,32,FALSE)</f>
        <v>136</v>
      </c>
      <c r="AG7" s="16">
        <f>VLOOKUP(6,'tableau entrée 1'!$A$2:$AZ$23,33,FALSE)</f>
        <v>71</v>
      </c>
      <c r="AH7" s="16">
        <f>VLOOKUP(6,'tableau entrée 1'!$A$2:$AZ$23,34,FALSE)</f>
        <v>39</v>
      </c>
      <c r="AI7" s="16">
        <f>VLOOKUP(6,'tableau entrée 1'!$A$2:$AZ$23,35,FALSE)</f>
        <v>46</v>
      </c>
      <c r="AJ7" s="16">
        <f>VLOOKUP(6,'tableau entrée 1'!$A$2:$AZ$23,36,FALSE)</f>
        <v>37</v>
      </c>
    </row>
    <row r="8" spans="1:36" ht="12.75">
      <c r="A8" s="14">
        <v>7</v>
      </c>
      <c r="B8" s="15" t="s">
        <v>32</v>
      </c>
      <c r="C8" s="16" t="s">
        <v>111</v>
      </c>
      <c r="D8" s="16">
        <f>VLOOKUP(7,'tableau entrée 1'!$A$2:$AZ$23,4,FALSE)</f>
        <v>1205</v>
      </c>
      <c r="E8" s="16">
        <f>VLOOKUP(7,'tableau entrée 1'!$A$2:$AZ$23,5,FALSE)</f>
        <v>1037</v>
      </c>
      <c r="F8" s="16">
        <f>VLOOKUP(7,'tableau entrée 1'!$A$2:$AZ$23,6,FALSE)</f>
        <v>1332</v>
      </c>
      <c r="G8" s="16">
        <f>VLOOKUP(7,'tableau entrée 1'!$A$2:$AZ$23,7,FALSE)</f>
        <v>1401</v>
      </c>
      <c r="H8" s="16">
        <f>VLOOKUP(7,'tableau entrée 1'!$A$2:$AZ$23,8,FALSE)</f>
        <v>1881</v>
      </c>
      <c r="I8" s="16">
        <f>VLOOKUP(7,'tableau entrée 1'!$A$2:$AZ$23,9,FALSE)</f>
        <v>1547</v>
      </c>
      <c r="J8" s="16">
        <f>VLOOKUP(7,'tableau entrée 1'!$A$2:$AZ$23,10,FALSE)</f>
        <v>1260</v>
      </c>
      <c r="K8" s="16">
        <f>VLOOKUP(7,'tableau entrée 1'!$A$2:$AZ$23,11,FALSE)</f>
        <v>878</v>
      </c>
      <c r="L8" s="16">
        <f>VLOOKUP(7,'tableau entrée 1'!$A$2:$AZ$23,12,FALSE)</f>
        <v>812</v>
      </c>
      <c r="M8" s="16">
        <f>VLOOKUP(7,'tableau entrée 1'!$A$2:$AZ$23,13,FALSE)</f>
        <v>575</v>
      </c>
      <c r="N8" s="16">
        <f>VLOOKUP(7,'tableau entrée 1'!$A$2:$AZ$23,14,FALSE)</f>
        <v>351</v>
      </c>
      <c r="O8" s="16">
        <f>VLOOKUP(7,'tableau entrée 1'!$A$2:$AZ$23,15,FALSE)</f>
        <v>859</v>
      </c>
      <c r="P8" s="16">
        <f>VLOOKUP(7,'tableau entrée 1'!$A$2:$AZ$23,16,FALSE)</f>
        <v>1211</v>
      </c>
      <c r="Q8" s="16">
        <f>VLOOKUP(7,'tableau entrée 1'!$A$2:$AZ$23,17,FALSE)</f>
        <v>1036</v>
      </c>
      <c r="R8" s="16">
        <f>VLOOKUP(7,'tableau entrée 1'!$A$2:$AZ$23,18,FALSE)</f>
        <v>1666</v>
      </c>
      <c r="S8" s="16">
        <f>VLOOKUP(7,'tableau entrée 1'!$A$2:$AZ$23,19,FALSE)</f>
        <v>1364</v>
      </c>
      <c r="T8" s="16">
        <f>VLOOKUP(7,'tableau entrée 1'!$A$2:$AZ$23,20,FALSE)</f>
        <v>1712</v>
      </c>
      <c r="U8" s="16">
        <f>VLOOKUP(7,'tableau entrée 1'!$A$2:$AZ$23,21,FALSE)</f>
        <v>1435</v>
      </c>
      <c r="V8" s="16">
        <f>VLOOKUP(7,'tableau entrée 1'!$A$2:$AZ$23,22,FALSE)</f>
        <v>1159</v>
      </c>
      <c r="W8" s="16">
        <f>VLOOKUP(7,'tableau entrée 1'!$A$2:$AZ$23,23,FALSE)</f>
        <v>746</v>
      </c>
      <c r="X8" s="16">
        <f>VLOOKUP(7,'tableau entrée 1'!$A$2:$AZ$23,24,FALSE)</f>
        <v>750</v>
      </c>
      <c r="Y8" s="16">
        <f>VLOOKUP(7,'tableau entrée 1'!$A$2:$AZ$23,25,FALSE)</f>
        <v>505</v>
      </c>
      <c r="Z8" s="16">
        <f>VLOOKUP(7,'tableau entrée 1'!$A$2:$AZ$23,26,FALSE)</f>
        <v>456</v>
      </c>
      <c r="AA8" s="16">
        <f>VLOOKUP(7,'tableau entrée 1'!$A$2:$AZ$23,27,FALSE)</f>
        <v>751</v>
      </c>
      <c r="AB8" s="16">
        <f>VLOOKUP(7,'tableau entrée 1'!$A$2:$AZ$23,28,FALSE)</f>
        <v>1303</v>
      </c>
      <c r="AC8" s="16">
        <f>VLOOKUP(7,'tableau entrée 1'!$A$2:$AZ$23,29,FALSE)</f>
        <v>1068</v>
      </c>
      <c r="AD8" s="16">
        <f>VLOOKUP(7,'tableau entrée 1'!$A$2:$AZ$23,30,FALSE)</f>
        <v>1498</v>
      </c>
      <c r="AE8" s="16">
        <f>VLOOKUP(7,'tableau entrée 1'!$A$2:$AZ$23,31,FALSE)</f>
        <v>1830</v>
      </c>
      <c r="AF8" s="16">
        <f>VLOOKUP(7,'tableau entrée 1'!$A$2:$AZ$23,32,FALSE)</f>
        <v>1593</v>
      </c>
      <c r="AG8" s="16">
        <f>VLOOKUP(7,'tableau entrée 1'!$A$2:$AZ$23,33,FALSE)</f>
        <v>900</v>
      </c>
      <c r="AH8" s="16">
        <f>VLOOKUP(7,'tableau entrée 1'!$A$2:$AZ$23,34,FALSE)</f>
        <v>603</v>
      </c>
      <c r="AI8" s="16">
        <f>VLOOKUP(7,'tableau entrée 1'!$A$2:$AZ$23,35,FALSE)</f>
        <v>684</v>
      </c>
      <c r="AJ8" s="16">
        <f>VLOOKUP(7,'tableau entrée 1'!$A$2:$AZ$23,36,FALSE)</f>
        <v>595</v>
      </c>
    </row>
    <row r="9" spans="1:36" ht="12.75">
      <c r="A9" s="14">
        <v>8</v>
      </c>
      <c r="B9" s="15" t="s">
        <v>33</v>
      </c>
      <c r="C9" s="16" t="s">
        <v>111</v>
      </c>
      <c r="D9" s="16">
        <f>VLOOKUP(8,'tableau entrée 1'!$A$2:$AZ$23,4,FALSE)</f>
        <v>3054</v>
      </c>
      <c r="E9" s="16">
        <f>VLOOKUP(8,'tableau entrée 1'!$A$2:$AZ$23,5,FALSE)</f>
        <v>2492</v>
      </c>
      <c r="F9" s="16">
        <f>VLOOKUP(8,'tableau entrée 1'!$A$2:$AZ$23,6,FALSE)</f>
        <v>3194</v>
      </c>
      <c r="G9" s="16">
        <f>VLOOKUP(8,'tableau entrée 1'!$A$2:$AZ$23,7,FALSE)</f>
        <v>3653</v>
      </c>
      <c r="H9" s="16">
        <f>VLOOKUP(8,'tableau entrée 1'!$A$2:$AZ$23,8,FALSE)</f>
        <v>5049</v>
      </c>
      <c r="I9" s="16">
        <f>VLOOKUP(8,'tableau entrée 1'!$A$2:$AZ$23,9,FALSE)</f>
        <v>3936</v>
      </c>
      <c r="J9" s="16">
        <f>VLOOKUP(8,'tableau entrée 1'!$A$2:$AZ$23,10,FALSE)</f>
        <v>2819</v>
      </c>
      <c r="K9" s="16">
        <f>VLOOKUP(8,'tableau entrée 1'!$A$2:$AZ$23,11,FALSE)</f>
        <v>2067</v>
      </c>
      <c r="L9" s="16">
        <f>VLOOKUP(8,'tableau entrée 1'!$A$2:$AZ$23,12,FALSE)</f>
        <v>1660</v>
      </c>
      <c r="M9" s="16">
        <f>VLOOKUP(8,'tableau entrée 1'!$A$2:$AZ$23,13,FALSE)</f>
        <v>999</v>
      </c>
      <c r="N9" s="16">
        <f>VLOOKUP(8,'tableau entrée 1'!$A$2:$AZ$23,14,FALSE)</f>
        <v>938</v>
      </c>
      <c r="O9" s="16">
        <f>VLOOKUP(8,'tableau entrée 1'!$A$2:$AZ$23,15,FALSE)</f>
        <v>1729</v>
      </c>
      <c r="P9" s="16">
        <f>VLOOKUP(8,'tableau entrée 1'!$A$2:$AZ$23,16,FALSE)</f>
        <v>2076</v>
      </c>
      <c r="Q9" s="16">
        <f>VLOOKUP(8,'tableau entrée 1'!$A$2:$AZ$23,17,FALSE)</f>
        <v>1867</v>
      </c>
      <c r="R9" s="16">
        <f>VLOOKUP(8,'tableau entrée 1'!$A$2:$AZ$23,18,FALSE)</f>
        <v>2860</v>
      </c>
      <c r="S9" s="16">
        <f>VLOOKUP(8,'tableau entrée 1'!$A$2:$AZ$23,19,FALSE)</f>
        <v>2800</v>
      </c>
      <c r="T9" s="16">
        <f>VLOOKUP(8,'tableau entrée 1'!$A$2:$AZ$23,20,FALSE)</f>
        <v>2723</v>
      </c>
      <c r="U9" s="16">
        <f>VLOOKUP(8,'tableau entrée 1'!$A$2:$AZ$23,21,FALSE)</f>
        <v>2305</v>
      </c>
      <c r="V9" s="16">
        <f>VLOOKUP(8,'tableau entrée 1'!$A$2:$AZ$23,22,FALSE)</f>
        <v>1722</v>
      </c>
      <c r="W9" s="16">
        <f>VLOOKUP(8,'tableau entrée 1'!$A$2:$AZ$23,23,FALSE)</f>
        <v>1379</v>
      </c>
      <c r="X9" s="16">
        <f>VLOOKUP(8,'tableau entrée 1'!$A$2:$AZ$23,24,FALSE)</f>
        <v>1217</v>
      </c>
      <c r="Y9" s="16">
        <f>VLOOKUP(8,'tableau entrée 1'!$A$2:$AZ$23,25,FALSE)</f>
        <v>824</v>
      </c>
      <c r="Z9" s="16">
        <f>VLOOKUP(8,'tableau entrée 1'!$A$2:$AZ$23,26,FALSE)</f>
        <v>929</v>
      </c>
      <c r="AA9" s="16">
        <f>VLOOKUP(8,'tableau entrée 1'!$A$2:$AZ$23,27,FALSE)</f>
        <v>1248</v>
      </c>
      <c r="AB9" s="16">
        <f>VLOOKUP(8,'tableau entrée 1'!$A$2:$AZ$23,28,FALSE)</f>
        <v>1895</v>
      </c>
      <c r="AC9" s="16">
        <f>VLOOKUP(8,'tableau entrée 1'!$A$2:$AZ$23,29,FALSE)</f>
        <v>1741</v>
      </c>
      <c r="AD9" s="16">
        <f>VLOOKUP(8,'tableau entrée 1'!$A$2:$AZ$23,30,FALSE)</f>
        <v>2021</v>
      </c>
      <c r="AE9" s="16">
        <f>VLOOKUP(8,'tableau entrée 1'!$A$2:$AZ$23,31,FALSE)</f>
        <v>2909</v>
      </c>
      <c r="AF9" s="16">
        <f>VLOOKUP(8,'tableau entrée 1'!$A$2:$AZ$23,32,FALSE)</f>
        <v>2316</v>
      </c>
      <c r="AG9" s="16">
        <f>VLOOKUP(8,'tableau entrée 1'!$A$2:$AZ$23,33,FALSE)</f>
        <v>1444</v>
      </c>
      <c r="AH9" s="16">
        <f>VLOOKUP(8,'tableau entrée 1'!$A$2:$AZ$23,34,FALSE)</f>
        <v>1196</v>
      </c>
      <c r="AI9" s="16">
        <f>VLOOKUP(8,'tableau entrée 1'!$A$2:$AZ$23,35,FALSE)</f>
        <v>1080</v>
      </c>
      <c r="AJ9" s="16">
        <f>VLOOKUP(8,'tableau entrée 1'!$A$2:$AZ$23,36,FALSE)</f>
        <v>962</v>
      </c>
    </row>
    <row r="10" spans="1:36" ht="12.75">
      <c r="A10" s="14">
        <v>9</v>
      </c>
      <c r="B10" s="15" t="s">
        <v>34</v>
      </c>
      <c r="C10" s="16" t="s">
        <v>111</v>
      </c>
      <c r="D10" s="16">
        <f>VLOOKUP(9,'tableau entrée 1'!$A$2:$AZ$23,4,FALSE)</f>
        <v>1760</v>
      </c>
      <c r="E10" s="16">
        <f>VLOOKUP(9,'tableau entrée 1'!$A$2:$AZ$23,5,FALSE)</f>
        <v>1537</v>
      </c>
      <c r="F10" s="16">
        <f>VLOOKUP(9,'tableau entrée 1'!$A$2:$AZ$23,6,FALSE)</f>
        <v>1837</v>
      </c>
      <c r="G10" s="16">
        <f>VLOOKUP(9,'tableau entrée 1'!$A$2:$AZ$23,7,FALSE)</f>
        <v>2216</v>
      </c>
      <c r="H10" s="16">
        <f>VLOOKUP(9,'tableau entrée 1'!$A$2:$AZ$23,8,FALSE)</f>
        <v>2838</v>
      </c>
      <c r="I10" s="16">
        <f>VLOOKUP(9,'tableau entrée 1'!$A$2:$AZ$23,9,FALSE)</f>
        <v>2266</v>
      </c>
      <c r="J10" s="16">
        <f>VLOOKUP(9,'tableau entrée 1'!$A$2:$AZ$23,10,FALSE)</f>
        <v>1946</v>
      </c>
      <c r="K10" s="16">
        <f>VLOOKUP(9,'tableau entrée 1'!$A$2:$AZ$23,11,FALSE)</f>
        <v>1462</v>
      </c>
      <c r="L10" s="16">
        <f>VLOOKUP(9,'tableau entrée 1'!$A$2:$AZ$23,12,FALSE)</f>
        <v>1444</v>
      </c>
      <c r="M10" s="16">
        <f>VLOOKUP(9,'tableau entrée 1'!$A$2:$AZ$23,13,FALSE)</f>
        <v>1152</v>
      </c>
      <c r="N10" s="16">
        <f>VLOOKUP(9,'tableau entrée 1'!$A$2:$AZ$23,14,FALSE)</f>
        <v>958</v>
      </c>
      <c r="O10" s="16">
        <f>VLOOKUP(9,'tableau entrée 1'!$A$2:$AZ$23,15,FALSE)</f>
        <v>1393</v>
      </c>
      <c r="P10" s="16">
        <f>VLOOKUP(9,'tableau entrée 1'!$A$2:$AZ$23,16,FALSE)</f>
        <v>1660</v>
      </c>
      <c r="Q10" s="16">
        <f>VLOOKUP(9,'tableau entrée 1'!$A$2:$AZ$23,17,FALSE)</f>
        <v>1363</v>
      </c>
      <c r="R10" s="16">
        <f>VLOOKUP(9,'tableau entrée 1'!$A$2:$AZ$23,18,FALSE)</f>
        <v>1932</v>
      </c>
      <c r="S10" s="16">
        <f>VLOOKUP(9,'tableau entrée 1'!$A$2:$AZ$23,19,FALSE)</f>
        <v>1717</v>
      </c>
      <c r="T10" s="16">
        <f>VLOOKUP(9,'tableau entrée 1'!$A$2:$AZ$23,20,FALSE)</f>
        <v>2064</v>
      </c>
      <c r="U10" s="16">
        <f>VLOOKUP(9,'tableau entrée 1'!$A$2:$AZ$23,21,FALSE)</f>
        <v>1814</v>
      </c>
      <c r="V10" s="16">
        <f>VLOOKUP(9,'tableau entrée 1'!$A$2:$AZ$23,22,FALSE)</f>
        <v>1533</v>
      </c>
      <c r="W10" s="16">
        <f>VLOOKUP(9,'tableau entrée 1'!$A$2:$AZ$23,23,FALSE)</f>
        <v>1321</v>
      </c>
      <c r="X10" s="16">
        <f>VLOOKUP(9,'tableau entrée 1'!$A$2:$AZ$23,24,FALSE)</f>
        <v>1352</v>
      </c>
      <c r="Y10" s="16">
        <f>VLOOKUP(9,'tableau entrée 1'!$A$2:$AZ$23,25,FALSE)</f>
        <v>1222</v>
      </c>
      <c r="Z10" s="16">
        <f>VLOOKUP(9,'tableau entrée 1'!$A$2:$AZ$23,26,FALSE)</f>
        <v>1230</v>
      </c>
      <c r="AA10" s="16">
        <f>VLOOKUP(9,'tableau entrée 1'!$A$2:$AZ$23,27,FALSE)</f>
        <v>1395</v>
      </c>
      <c r="AB10" s="16">
        <f>VLOOKUP(9,'tableau entrée 1'!$A$2:$AZ$23,28,FALSE)</f>
        <v>1847</v>
      </c>
      <c r="AC10" s="16">
        <f>VLOOKUP(9,'tableau entrée 1'!$A$2:$AZ$23,29,FALSE)</f>
        <v>1591</v>
      </c>
      <c r="AD10" s="16">
        <f>VLOOKUP(9,'tableau entrée 1'!$A$2:$AZ$23,30,FALSE)</f>
        <v>1896</v>
      </c>
      <c r="AE10" s="16">
        <f>VLOOKUP(9,'tableau entrée 1'!$A$2:$AZ$23,31,FALSE)</f>
        <v>2294</v>
      </c>
      <c r="AF10" s="16">
        <f>VLOOKUP(9,'tableau entrée 1'!$A$2:$AZ$23,32,FALSE)</f>
        <v>1991</v>
      </c>
      <c r="AG10" s="16">
        <f>VLOOKUP(9,'tableau entrée 1'!$A$2:$AZ$23,33,FALSE)</f>
        <v>1421</v>
      </c>
      <c r="AH10" s="16">
        <f>VLOOKUP(9,'tableau entrée 1'!$A$2:$AZ$23,34,FALSE)</f>
        <v>1201</v>
      </c>
      <c r="AI10" s="16">
        <f>VLOOKUP(9,'tableau entrée 1'!$A$2:$AZ$23,35,FALSE)</f>
        <v>1310</v>
      </c>
      <c r="AJ10" s="16">
        <f>VLOOKUP(9,'tableau entrée 1'!$A$2:$AZ$23,36,FALSE)</f>
        <v>1282</v>
      </c>
    </row>
    <row r="11" spans="1:36" ht="12.75">
      <c r="A11" s="14">
        <v>10</v>
      </c>
      <c r="B11" s="15" t="s">
        <v>35</v>
      </c>
      <c r="C11" s="16" t="s">
        <v>111</v>
      </c>
      <c r="D11" s="16">
        <f>VLOOKUP(10,'tableau entrée 1'!$A$2:$AZ$23,4,FALSE)</f>
        <v>6427</v>
      </c>
      <c r="E11" s="16">
        <f>VLOOKUP(10,'tableau entrée 1'!$A$2:$AZ$23,5,FALSE)</f>
        <v>5781</v>
      </c>
      <c r="F11" s="16">
        <f>VLOOKUP(10,'tableau entrée 1'!$A$2:$AZ$23,6,FALSE)</f>
        <v>7592</v>
      </c>
      <c r="G11" s="16">
        <f>VLOOKUP(10,'tableau entrée 1'!$A$2:$AZ$23,7,FALSE)</f>
        <v>8567</v>
      </c>
      <c r="H11" s="16">
        <f>VLOOKUP(10,'tableau entrée 1'!$A$2:$AZ$23,8,FALSE)</f>
        <v>10822</v>
      </c>
      <c r="I11" s="16">
        <f>VLOOKUP(10,'tableau entrée 1'!$A$2:$AZ$23,9,FALSE)</f>
        <v>8886</v>
      </c>
      <c r="J11" s="16">
        <f>VLOOKUP(10,'tableau entrée 1'!$A$2:$AZ$23,10,FALSE)</f>
        <v>7517</v>
      </c>
      <c r="K11" s="16">
        <f>VLOOKUP(10,'tableau entrée 1'!$A$2:$AZ$23,11,FALSE)</f>
        <v>5311</v>
      </c>
      <c r="L11" s="16">
        <f>VLOOKUP(10,'tableau entrée 1'!$A$2:$AZ$23,12,FALSE)</f>
        <v>5190</v>
      </c>
      <c r="M11" s="16">
        <f>VLOOKUP(10,'tableau entrée 1'!$A$2:$AZ$23,13,FALSE)</f>
        <v>3750</v>
      </c>
      <c r="N11" s="16">
        <f>VLOOKUP(10,'tableau entrée 1'!$A$2:$AZ$23,14,FALSE)</f>
        <v>2981</v>
      </c>
      <c r="O11" s="16">
        <f>VLOOKUP(10,'tableau entrée 1'!$A$2:$AZ$23,15,FALSE)</f>
        <v>5024</v>
      </c>
      <c r="P11" s="16">
        <f>VLOOKUP(10,'tableau entrée 1'!$A$2:$AZ$23,16,FALSE)</f>
        <v>6192</v>
      </c>
      <c r="Q11" s="16">
        <f>VLOOKUP(10,'tableau entrée 1'!$A$2:$AZ$23,17,FALSE)</f>
        <v>5247</v>
      </c>
      <c r="R11" s="16">
        <f>VLOOKUP(10,'tableau entrée 1'!$A$2:$AZ$23,18,FALSE)</f>
        <v>8386</v>
      </c>
      <c r="S11" s="16">
        <f>VLOOKUP(10,'tableau entrée 1'!$A$2:$AZ$23,19,FALSE)</f>
        <v>7575</v>
      </c>
      <c r="T11" s="16">
        <f>VLOOKUP(10,'tableau entrée 1'!$A$2:$AZ$23,20,FALSE)</f>
        <v>9315</v>
      </c>
      <c r="U11" s="16">
        <f>VLOOKUP(10,'tableau entrée 1'!$A$2:$AZ$23,21,FALSE)</f>
        <v>7967</v>
      </c>
      <c r="V11" s="16">
        <f>VLOOKUP(10,'tableau entrée 1'!$A$2:$AZ$23,22,FALSE)</f>
        <v>6581</v>
      </c>
      <c r="W11" s="16">
        <f>VLOOKUP(10,'tableau entrée 1'!$A$2:$AZ$23,23,FALSE)</f>
        <v>5305</v>
      </c>
      <c r="X11" s="16">
        <f>VLOOKUP(10,'tableau entrée 1'!$A$2:$AZ$23,24,FALSE)</f>
        <v>5337</v>
      </c>
      <c r="Y11" s="16">
        <f>VLOOKUP(10,'tableau entrée 1'!$A$2:$AZ$23,25,FALSE)</f>
        <v>4478</v>
      </c>
      <c r="Z11" s="16">
        <f>VLOOKUP(10,'tableau entrée 1'!$A$2:$AZ$23,26,FALSE)</f>
        <v>4046</v>
      </c>
      <c r="AA11" s="16">
        <f>VLOOKUP(10,'tableau entrée 1'!$A$2:$AZ$23,27,FALSE)</f>
        <v>5025</v>
      </c>
      <c r="AB11" s="16">
        <f>VLOOKUP(10,'tableau entrée 1'!$A$2:$AZ$23,28,FALSE)</f>
        <v>7706</v>
      </c>
      <c r="AC11" s="16">
        <f>VLOOKUP(10,'tableau entrée 1'!$A$2:$AZ$23,29,FALSE)</f>
        <v>6828</v>
      </c>
      <c r="AD11" s="16">
        <f>VLOOKUP(10,'tableau entrée 1'!$A$2:$AZ$23,30,FALSE)</f>
        <v>8451</v>
      </c>
      <c r="AE11" s="16">
        <f>VLOOKUP(10,'tableau entrée 1'!$A$2:$AZ$23,31,FALSE)</f>
        <v>10484</v>
      </c>
      <c r="AF11" s="16">
        <f>VLOOKUP(10,'tableau entrée 1'!$A$2:$AZ$23,32,FALSE)</f>
        <v>8941</v>
      </c>
      <c r="AG11" s="16">
        <f>VLOOKUP(10,'tableau entrée 1'!$A$2:$AZ$23,33,FALSE)</f>
        <v>5991</v>
      </c>
      <c r="AH11" s="16">
        <f>VLOOKUP(10,'tableau entrée 1'!$A$2:$AZ$23,34,FALSE)</f>
        <v>4478</v>
      </c>
      <c r="AI11" s="16">
        <f>VLOOKUP(10,'tableau entrée 1'!$A$2:$AZ$23,35,FALSE)</f>
        <v>4852</v>
      </c>
      <c r="AJ11" s="16">
        <f>VLOOKUP(10,'tableau entrée 1'!$A$2:$AZ$23,36,FALSE)</f>
        <v>4464</v>
      </c>
    </row>
    <row r="12" spans="1:36" ht="12.75">
      <c r="A12" s="14">
        <v>11</v>
      </c>
      <c r="B12" s="15" t="s">
        <v>36</v>
      </c>
      <c r="C12" s="16" t="s">
        <v>111</v>
      </c>
      <c r="D12" s="16">
        <f>VLOOKUP(11,'tableau entrée 1'!$A$2:$AZ$23,4,FALSE)</f>
        <v>678</v>
      </c>
      <c r="E12" s="16">
        <f>VLOOKUP(11,'tableau entrée 1'!$A$2:$AZ$23,5,FALSE)</f>
        <v>606</v>
      </c>
      <c r="F12" s="16">
        <f>VLOOKUP(11,'tableau entrée 1'!$A$2:$AZ$23,6,FALSE)</f>
        <v>801</v>
      </c>
      <c r="G12" s="16">
        <f>VLOOKUP(11,'tableau entrée 1'!$A$2:$AZ$23,7,FALSE)</f>
        <v>875</v>
      </c>
      <c r="H12" s="16">
        <f>VLOOKUP(11,'tableau entrée 1'!$A$2:$AZ$23,8,FALSE)</f>
        <v>1187</v>
      </c>
      <c r="I12" s="16">
        <f>VLOOKUP(11,'tableau entrée 1'!$A$2:$AZ$23,9,FALSE)</f>
        <v>946</v>
      </c>
      <c r="J12" s="16">
        <f>VLOOKUP(11,'tableau entrée 1'!$A$2:$AZ$23,10,FALSE)</f>
        <v>660</v>
      </c>
      <c r="K12" s="16">
        <f>VLOOKUP(11,'tableau entrée 1'!$A$2:$AZ$23,11,FALSE)</f>
        <v>473</v>
      </c>
      <c r="L12" s="16">
        <f>VLOOKUP(11,'tableau entrée 1'!$A$2:$AZ$23,12,FALSE)</f>
        <v>344</v>
      </c>
      <c r="M12" s="16">
        <f>VLOOKUP(11,'tableau entrée 1'!$A$2:$AZ$23,13,FALSE)</f>
        <v>223</v>
      </c>
      <c r="N12" s="16">
        <f>VLOOKUP(11,'tableau entrée 1'!$A$2:$AZ$23,14,FALSE)</f>
        <v>256</v>
      </c>
      <c r="O12" s="16">
        <f>VLOOKUP(11,'tableau entrée 1'!$A$2:$AZ$23,15,FALSE)</f>
        <v>397</v>
      </c>
      <c r="P12" s="16">
        <f>VLOOKUP(11,'tableau entrée 1'!$A$2:$AZ$23,16,FALSE)</f>
        <v>505</v>
      </c>
      <c r="Q12" s="16">
        <f>VLOOKUP(11,'tableau entrée 1'!$A$2:$AZ$23,17,FALSE)</f>
        <v>416</v>
      </c>
      <c r="R12" s="16">
        <f>VLOOKUP(11,'tableau entrée 1'!$A$2:$AZ$23,18,FALSE)</f>
        <v>615</v>
      </c>
      <c r="S12" s="16">
        <f>VLOOKUP(11,'tableau entrée 1'!$A$2:$AZ$23,19,FALSE)</f>
        <v>680</v>
      </c>
      <c r="T12" s="16">
        <f>VLOOKUP(11,'tableau entrée 1'!$A$2:$AZ$23,20,FALSE)</f>
        <v>662</v>
      </c>
      <c r="U12" s="16">
        <f>VLOOKUP(11,'tableau entrée 1'!$A$2:$AZ$23,21,FALSE)</f>
        <v>555</v>
      </c>
      <c r="V12" s="16">
        <f>VLOOKUP(11,'tableau entrée 1'!$A$2:$AZ$23,22,FALSE)</f>
        <v>414</v>
      </c>
      <c r="W12" s="16">
        <f>VLOOKUP(11,'tableau entrée 1'!$A$2:$AZ$23,23,FALSE)</f>
        <v>374</v>
      </c>
      <c r="X12" s="16">
        <f>VLOOKUP(11,'tableau entrée 1'!$A$2:$AZ$23,24,FALSE)</f>
        <v>299</v>
      </c>
      <c r="Y12" s="16">
        <f>VLOOKUP(11,'tableau entrée 1'!$A$2:$AZ$23,25,FALSE)</f>
        <v>178</v>
      </c>
      <c r="Z12" s="16">
        <f>VLOOKUP(11,'tableau entrée 1'!$A$2:$AZ$23,26,FALSE)</f>
        <v>227</v>
      </c>
      <c r="AA12" s="16">
        <f>VLOOKUP(11,'tableau entrée 1'!$A$2:$AZ$23,27,FALSE)</f>
        <v>345</v>
      </c>
      <c r="AB12" s="16">
        <f>VLOOKUP(11,'tableau entrée 1'!$A$2:$AZ$23,28,FALSE)</f>
        <v>536</v>
      </c>
      <c r="AC12" s="16">
        <f>VLOOKUP(11,'tableau entrée 1'!$A$2:$AZ$23,29,FALSE)</f>
        <v>517</v>
      </c>
      <c r="AD12" s="16">
        <f>VLOOKUP(11,'tableau entrée 1'!$A$2:$AZ$23,30,FALSE)</f>
        <v>531</v>
      </c>
      <c r="AE12" s="16">
        <f>VLOOKUP(11,'tableau entrée 1'!$A$2:$AZ$23,31,FALSE)</f>
        <v>857</v>
      </c>
      <c r="AF12" s="16">
        <f>VLOOKUP(11,'tableau entrée 1'!$A$2:$AZ$23,32,FALSE)</f>
        <v>667</v>
      </c>
      <c r="AG12" s="16">
        <f>VLOOKUP(11,'tableau entrée 1'!$A$2:$AZ$23,33,FALSE)</f>
        <v>432</v>
      </c>
      <c r="AH12" s="16">
        <f>VLOOKUP(11,'tableau entrée 1'!$A$2:$AZ$23,34,FALSE)</f>
        <v>339</v>
      </c>
      <c r="AI12" s="16">
        <f>VLOOKUP(11,'tableau entrée 1'!$A$2:$AZ$23,35,FALSE)</f>
        <v>305</v>
      </c>
      <c r="AJ12" s="16">
        <f>VLOOKUP(11,'tableau entrée 1'!$A$2:$AZ$23,36,FALSE)</f>
        <v>295</v>
      </c>
    </row>
    <row r="13" spans="1:36" ht="12.75">
      <c r="A13" s="14">
        <v>12</v>
      </c>
      <c r="B13" s="15" t="s">
        <v>37</v>
      </c>
      <c r="C13" s="16" t="s">
        <v>111</v>
      </c>
      <c r="D13" s="16">
        <f>VLOOKUP(12,'tableau entrée 1'!$A$2:$AZ$23,4,FALSE)</f>
        <v>889</v>
      </c>
      <c r="E13" s="16">
        <f>VLOOKUP(12,'tableau entrée 1'!$A$2:$AZ$23,5,FALSE)</f>
        <v>785</v>
      </c>
      <c r="F13" s="16">
        <f>VLOOKUP(12,'tableau entrée 1'!$A$2:$AZ$23,6,FALSE)</f>
        <v>965</v>
      </c>
      <c r="G13" s="16">
        <f>VLOOKUP(12,'tableau entrée 1'!$A$2:$AZ$23,7,FALSE)</f>
        <v>1297</v>
      </c>
      <c r="H13" s="16">
        <f>VLOOKUP(12,'tableau entrée 1'!$A$2:$AZ$23,8,FALSE)</f>
        <v>1738</v>
      </c>
      <c r="I13" s="16">
        <f>VLOOKUP(12,'tableau entrée 1'!$A$2:$AZ$23,9,FALSE)</f>
        <v>1583</v>
      </c>
      <c r="J13" s="16">
        <f>VLOOKUP(12,'tableau entrée 1'!$A$2:$AZ$23,10,FALSE)</f>
        <v>963</v>
      </c>
      <c r="K13" s="16">
        <f>VLOOKUP(12,'tableau entrée 1'!$A$2:$AZ$23,11,FALSE)</f>
        <v>787</v>
      </c>
      <c r="L13" s="16">
        <f>VLOOKUP(12,'tableau entrée 1'!$A$2:$AZ$23,12,FALSE)</f>
        <v>698</v>
      </c>
      <c r="M13" s="16">
        <f>VLOOKUP(12,'tableau entrée 1'!$A$2:$AZ$23,13,FALSE)</f>
        <v>497</v>
      </c>
      <c r="N13" s="16">
        <f>VLOOKUP(12,'tableau entrée 1'!$A$2:$AZ$23,14,FALSE)</f>
        <v>482</v>
      </c>
      <c r="O13" s="16">
        <f>VLOOKUP(12,'tableau entrée 1'!$A$2:$AZ$23,15,FALSE)</f>
        <v>639</v>
      </c>
      <c r="P13" s="16">
        <f>VLOOKUP(12,'tableau entrée 1'!$A$2:$AZ$23,16,FALSE)</f>
        <v>869</v>
      </c>
      <c r="Q13" s="16">
        <f>VLOOKUP(12,'tableau entrée 1'!$A$2:$AZ$23,17,FALSE)</f>
        <v>835</v>
      </c>
      <c r="R13" s="16">
        <f>VLOOKUP(12,'tableau entrée 1'!$A$2:$AZ$23,18,FALSE)</f>
        <v>1056</v>
      </c>
      <c r="S13" s="16">
        <f>VLOOKUP(12,'tableau entrée 1'!$A$2:$AZ$23,19,FALSE)</f>
        <v>1303</v>
      </c>
      <c r="T13" s="16">
        <f>VLOOKUP(12,'tableau entrée 1'!$A$2:$AZ$23,20,FALSE)</f>
        <v>1130</v>
      </c>
      <c r="U13" s="16">
        <f>VLOOKUP(12,'tableau entrée 1'!$A$2:$AZ$23,21,FALSE)</f>
        <v>1138</v>
      </c>
      <c r="V13" s="16">
        <f>VLOOKUP(12,'tableau entrée 1'!$A$2:$AZ$23,22,FALSE)</f>
        <v>795</v>
      </c>
      <c r="W13" s="16">
        <f>VLOOKUP(12,'tableau entrée 1'!$A$2:$AZ$23,23,FALSE)</f>
        <v>763</v>
      </c>
      <c r="X13" s="16">
        <f>VLOOKUP(12,'tableau entrée 1'!$A$2:$AZ$23,24,FALSE)</f>
        <v>663</v>
      </c>
      <c r="Y13" s="16">
        <f>VLOOKUP(12,'tableau entrée 1'!$A$2:$AZ$23,25,FALSE)</f>
        <v>519</v>
      </c>
      <c r="Z13" s="16">
        <f>VLOOKUP(12,'tableau entrée 1'!$A$2:$AZ$23,26,FALSE)</f>
        <v>532</v>
      </c>
      <c r="AA13" s="16">
        <f>VLOOKUP(12,'tableau entrée 1'!$A$2:$AZ$23,27,FALSE)</f>
        <v>681</v>
      </c>
      <c r="AB13" s="16">
        <f>VLOOKUP(12,'tableau entrée 1'!$A$2:$AZ$23,28,FALSE)</f>
        <v>930</v>
      </c>
      <c r="AC13" s="16">
        <f>VLOOKUP(12,'tableau entrée 1'!$A$2:$AZ$23,29,FALSE)</f>
        <v>878</v>
      </c>
      <c r="AD13" s="16">
        <f>VLOOKUP(12,'tableau entrée 1'!$A$2:$AZ$23,30,FALSE)</f>
        <v>891</v>
      </c>
      <c r="AE13" s="16">
        <f>VLOOKUP(12,'tableau entrée 1'!$A$2:$AZ$23,31,FALSE)</f>
        <v>1666</v>
      </c>
      <c r="AF13" s="16">
        <f>VLOOKUP(12,'tableau entrée 1'!$A$2:$AZ$23,32,FALSE)</f>
        <v>1344</v>
      </c>
      <c r="AG13" s="16">
        <f>VLOOKUP(12,'tableau entrée 1'!$A$2:$AZ$23,33,FALSE)</f>
        <v>849</v>
      </c>
      <c r="AH13" s="16">
        <f>VLOOKUP(12,'tableau entrée 1'!$A$2:$AZ$23,34,FALSE)</f>
        <v>706</v>
      </c>
      <c r="AI13" s="16">
        <f>VLOOKUP(12,'tableau entrée 1'!$A$2:$AZ$23,35,FALSE)</f>
        <v>713</v>
      </c>
      <c r="AJ13" s="16">
        <f>VLOOKUP(12,'tableau entrée 1'!$A$2:$AZ$23,36,FALSE)</f>
        <v>624</v>
      </c>
    </row>
    <row r="14" spans="1:36" ht="12.75">
      <c r="A14" s="14">
        <v>13</v>
      </c>
      <c r="B14" s="15" t="s">
        <v>38</v>
      </c>
      <c r="C14" s="16" t="s">
        <v>111</v>
      </c>
      <c r="D14" s="16">
        <f>VLOOKUP(13,'tableau entrée 1'!$A$2:$AZ$23,4,FALSE)</f>
        <v>1170</v>
      </c>
      <c r="E14" s="16">
        <f>VLOOKUP(13,'tableau entrée 1'!$A$2:$AZ$23,5,FALSE)</f>
        <v>1031</v>
      </c>
      <c r="F14" s="16">
        <f>VLOOKUP(13,'tableau entrée 1'!$A$2:$AZ$23,6,FALSE)</f>
        <v>1312</v>
      </c>
      <c r="G14" s="16">
        <f>VLOOKUP(13,'tableau entrée 1'!$A$2:$AZ$23,7,FALSE)</f>
        <v>1576</v>
      </c>
      <c r="H14" s="16">
        <f>VLOOKUP(13,'tableau entrée 1'!$A$2:$AZ$23,8,FALSE)</f>
        <v>2429</v>
      </c>
      <c r="I14" s="16">
        <f>VLOOKUP(13,'tableau entrée 1'!$A$2:$AZ$23,9,FALSE)</f>
        <v>1648</v>
      </c>
      <c r="J14" s="16">
        <f>VLOOKUP(13,'tableau entrée 1'!$A$2:$AZ$23,10,FALSE)</f>
        <v>1123</v>
      </c>
      <c r="K14" s="16">
        <f>VLOOKUP(13,'tableau entrée 1'!$A$2:$AZ$23,11,FALSE)</f>
        <v>834</v>
      </c>
      <c r="L14" s="16">
        <f>VLOOKUP(13,'tableau entrée 1'!$A$2:$AZ$23,12,FALSE)</f>
        <v>757</v>
      </c>
      <c r="M14" s="16">
        <f>VLOOKUP(13,'tableau entrée 1'!$A$2:$AZ$23,13,FALSE)</f>
        <v>498</v>
      </c>
      <c r="N14" s="16">
        <f>VLOOKUP(13,'tableau entrée 1'!$A$2:$AZ$23,14,FALSE)</f>
        <v>518</v>
      </c>
      <c r="O14" s="16">
        <f>VLOOKUP(13,'tableau entrée 1'!$A$2:$AZ$23,15,FALSE)</f>
        <v>773</v>
      </c>
      <c r="P14" s="16">
        <f>VLOOKUP(13,'tableau entrée 1'!$A$2:$AZ$23,16,FALSE)</f>
        <v>969</v>
      </c>
      <c r="Q14" s="16">
        <f>VLOOKUP(13,'tableau entrée 1'!$A$2:$AZ$23,17,FALSE)</f>
        <v>821</v>
      </c>
      <c r="R14" s="16">
        <f>VLOOKUP(13,'tableau entrée 1'!$A$2:$AZ$23,18,FALSE)</f>
        <v>1248</v>
      </c>
      <c r="S14" s="16">
        <f>VLOOKUP(13,'tableau entrée 1'!$A$2:$AZ$23,19,FALSE)</f>
        <v>1239</v>
      </c>
      <c r="T14" s="16">
        <f>VLOOKUP(13,'tableau entrée 1'!$A$2:$AZ$23,20,FALSE)</f>
        <v>1300</v>
      </c>
      <c r="U14" s="16">
        <f>VLOOKUP(13,'tableau entrée 1'!$A$2:$AZ$23,21,FALSE)</f>
        <v>1185</v>
      </c>
      <c r="V14" s="16">
        <f>VLOOKUP(13,'tableau entrée 1'!$A$2:$AZ$23,22,FALSE)</f>
        <v>910</v>
      </c>
      <c r="W14" s="16">
        <f>VLOOKUP(13,'tableau entrée 1'!$A$2:$AZ$23,23,FALSE)</f>
        <v>678</v>
      </c>
      <c r="X14" s="16">
        <f>VLOOKUP(13,'tableau entrée 1'!$A$2:$AZ$23,24,FALSE)</f>
        <v>613</v>
      </c>
      <c r="Y14" s="16">
        <f>VLOOKUP(13,'tableau entrée 1'!$A$2:$AZ$23,25,FALSE)</f>
        <v>419</v>
      </c>
      <c r="Z14" s="16">
        <f>VLOOKUP(13,'tableau entrée 1'!$A$2:$AZ$23,26,FALSE)</f>
        <v>441</v>
      </c>
      <c r="AA14" s="16">
        <f>VLOOKUP(13,'tableau entrée 1'!$A$2:$AZ$23,27,FALSE)</f>
        <v>677</v>
      </c>
      <c r="AB14" s="16">
        <f>VLOOKUP(13,'tableau entrée 1'!$A$2:$AZ$23,28,FALSE)</f>
        <v>1057</v>
      </c>
      <c r="AC14" s="16">
        <f>VLOOKUP(13,'tableau entrée 1'!$A$2:$AZ$23,29,FALSE)</f>
        <v>814</v>
      </c>
      <c r="AD14" s="16">
        <f>VLOOKUP(13,'tableau entrée 1'!$A$2:$AZ$23,30,FALSE)</f>
        <v>938</v>
      </c>
      <c r="AE14" s="16">
        <f>VLOOKUP(13,'tableau entrée 1'!$A$2:$AZ$23,31,FALSE)</f>
        <v>1465</v>
      </c>
      <c r="AF14" s="16">
        <f>VLOOKUP(13,'tableau entrée 1'!$A$2:$AZ$23,32,FALSE)</f>
        <v>1299</v>
      </c>
      <c r="AG14" s="16">
        <f>VLOOKUP(13,'tableau entrée 1'!$A$2:$AZ$23,33,FALSE)</f>
        <v>745</v>
      </c>
      <c r="AH14" s="16">
        <f>VLOOKUP(13,'tableau entrée 1'!$A$2:$AZ$23,34,FALSE)</f>
        <v>534</v>
      </c>
      <c r="AI14" s="16">
        <f>VLOOKUP(13,'tableau entrée 1'!$A$2:$AZ$23,35,FALSE)</f>
        <v>603</v>
      </c>
      <c r="AJ14" s="16">
        <f>VLOOKUP(13,'tableau entrée 1'!$A$2:$AZ$23,36,FALSE)</f>
        <v>550</v>
      </c>
    </row>
    <row r="15" spans="1:36" ht="12.75">
      <c r="A15" s="14">
        <v>14</v>
      </c>
      <c r="B15" s="15" t="s">
        <v>39</v>
      </c>
      <c r="C15" s="16" t="s">
        <v>111</v>
      </c>
      <c r="D15" s="16">
        <f>VLOOKUP(14,'tableau entrée 1'!$A$2:$AZ$23,4,FALSE)</f>
        <v>855</v>
      </c>
      <c r="E15" s="16">
        <f>VLOOKUP(14,'tableau entrée 1'!$A$2:$AZ$23,5,FALSE)</f>
        <v>816</v>
      </c>
      <c r="F15" s="16">
        <f>VLOOKUP(14,'tableau entrée 1'!$A$2:$AZ$23,6,FALSE)</f>
        <v>976</v>
      </c>
      <c r="G15" s="16">
        <f>VLOOKUP(14,'tableau entrée 1'!$A$2:$AZ$23,7,FALSE)</f>
        <v>1091</v>
      </c>
      <c r="H15" s="16">
        <f>VLOOKUP(14,'tableau entrée 1'!$A$2:$AZ$23,8,FALSE)</f>
        <v>1462</v>
      </c>
      <c r="I15" s="16">
        <f>VLOOKUP(14,'tableau entrée 1'!$A$2:$AZ$23,9,FALSE)</f>
        <v>1046</v>
      </c>
      <c r="J15" s="16">
        <f>VLOOKUP(14,'tableau entrée 1'!$A$2:$AZ$23,10,FALSE)</f>
        <v>911</v>
      </c>
      <c r="K15" s="16">
        <f>VLOOKUP(14,'tableau entrée 1'!$A$2:$AZ$23,11,FALSE)</f>
        <v>619</v>
      </c>
      <c r="L15" s="16">
        <f>VLOOKUP(14,'tableau entrée 1'!$A$2:$AZ$23,12,FALSE)</f>
        <v>680</v>
      </c>
      <c r="M15" s="16">
        <f>VLOOKUP(14,'tableau entrée 1'!$A$2:$AZ$23,13,FALSE)</f>
        <v>523</v>
      </c>
      <c r="N15" s="16">
        <f>VLOOKUP(14,'tableau entrée 1'!$A$2:$AZ$23,14,FALSE)</f>
        <v>344</v>
      </c>
      <c r="O15" s="16">
        <f>VLOOKUP(14,'tableau entrée 1'!$A$2:$AZ$23,15,FALSE)</f>
        <v>605</v>
      </c>
      <c r="P15" s="16">
        <f>VLOOKUP(14,'tableau entrée 1'!$A$2:$AZ$23,16,FALSE)</f>
        <v>889</v>
      </c>
      <c r="Q15" s="16">
        <f>VLOOKUP(14,'tableau entrée 1'!$A$2:$AZ$23,17,FALSE)</f>
        <v>783</v>
      </c>
      <c r="R15" s="16">
        <f>VLOOKUP(14,'tableau entrée 1'!$A$2:$AZ$23,18,FALSE)</f>
        <v>1250</v>
      </c>
      <c r="S15" s="16">
        <f>VLOOKUP(14,'tableau entrée 1'!$A$2:$AZ$23,19,FALSE)</f>
        <v>877</v>
      </c>
      <c r="T15" s="16">
        <f>VLOOKUP(14,'tableau entrée 1'!$A$2:$AZ$23,20,FALSE)</f>
        <v>1164</v>
      </c>
      <c r="U15" s="16">
        <f>VLOOKUP(14,'tableau entrée 1'!$A$2:$AZ$23,21,FALSE)</f>
        <v>1010</v>
      </c>
      <c r="V15" s="16">
        <f>VLOOKUP(14,'tableau entrée 1'!$A$2:$AZ$23,22,FALSE)</f>
        <v>832</v>
      </c>
      <c r="W15" s="16">
        <f>VLOOKUP(14,'tableau entrée 1'!$A$2:$AZ$23,23,FALSE)</f>
        <v>605</v>
      </c>
      <c r="X15" s="16">
        <f>VLOOKUP(14,'tableau entrée 1'!$A$2:$AZ$23,24,FALSE)</f>
        <v>580</v>
      </c>
      <c r="Y15" s="16">
        <f>VLOOKUP(14,'tableau entrée 1'!$A$2:$AZ$23,25,FALSE)</f>
        <v>456</v>
      </c>
      <c r="Z15" s="16">
        <f>VLOOKUP(14,'tableau entrée 1'!$A$2:$AZ$23,26,FALSE)</f>
        <v>386</v>
      </c>
      <c r="AA15" s="16">
        <f>VLOOKUP(14,'tableau entrée 1'!$A$2:$AZ$23,27,FALSE)</f>
        <v>524</v>
      </c>
      <c r="AB15" s="16">
        <f>VLOOKUP(14,'tableau entrée 1'!$A$2:$AZ$23,28,FALSE)</f>
        <v>880</v>
      </c>
      <c r="AC15" s="16">
        <f>VLOOKUP(14,'tableau entrée 1'!$A$2:$AZ$23,29,FALSE)</f>
        <v>710</v>
      </c>
      <c r="AD15" s="16">
        <f>VLOOKUP(14,'tableau entrée 1'!$A$2:$AZ$23,30,FALSE)</f>
        <v>898</v>
      </c>
      <c r="AE15" s="16">
        <f>VLOOKUP(14,'tableau entrée 1'!$A$2:$AZ$23,31,FALSE)</f>
        <v>1187</v>
      </c>
      <c r="AF15" s="16">
        <f>VLOOKUP(14,'tableau entrée 1'!$A$2:$AZ$23,32,FALSE)</f>
        <v>963</v>
      </c>
      <c r="AG15" s="16">
        <f>VLOOKUP(14,'tableau entrée 1'!$A$2:$AZ$23,33,FALSE)</f>
        <v>584</v>
      </c>
      <c r="AH15" s="16">
        <f>VLOOKUP(14,'tableau entrée 1'!$A$2:$AZ$23,34,FALSE)</f>
        <v>430</v>
      </c>
      <c r="AI15" s="16">
        <f>VLOOKUP(14,'tableau entrée 1'!$A$2:$AZ$23,35,FALSE)</f>
        <v>563</v>
      </c>
      <c r="AJ15" s="16">
        <f>VLOOKUP(14,'tableau entrée 1'!$A$2:$AZ$23,36,FALSE)</f>
        <v>523</v>
      </c>
    </row>
    <row r="16" spans="1:36" ht="25.5">
      <c r="A16" s="14">
        <v>15</v>
      </c>
      <c r="B16" s="15" t="s">
        <v>40</v>
      </c>
      <c r="C16" s="16" t="s">
        <v>111</v>
      </c>
      <c r="D16" s="16">
        <f>VLOOKUP(15,'tableau entrée 1'!$A$2:$AZ$23,4,FALSE)</f>
        <v>3797</v>
      </c>
      <c r="E16" s="16">
        <f>VLOOKUP(15,'tableau entrée 1'!$A$2:$AZ$23,5,FALSE)</f>
        <v>3381</v>
      </c>
      <c r="F16" s="16">
        <f>VLOOKUP(15,'tableau entrée 1'!$A$2:$AZ$23,6,FALSE)</f>
        <v>4546</v>
      </c>
      <c r="G16" s="16">
        <f>VLOOKUP(15,'tableau entrée 1'!$A$2:$AZ$23,7,FALSE)</f>
        <v>4972</v>
      </c>
      <c r="H16" s="16">
        <f>VLOOKUP(15,'tableau entrée 1'!$A$2:$AZ$23,8,FALSE)</f>
        <v>7228</v>
      </c>
      <c r="I16" s="16">
        <f>VLOOKUP(15,'tableau entrée 1'!$A$2:$AZ$23,9,FALSE)</f>
        <v>5711</v>
      </c>
      <c r="J16" s="16">
        <f>VLOOKUP(15,'tableau entrée 1'!$A$2:$AZ$23,10,FALSE)</f>
        <v>4168</v>
      </c>
      <c r="K16" s="16">
        <f>VLOOKUP(15,'tableau entrée 1'!$A$2:$AZ$23,11,FALSE)</f>
        <v>3199</v>
      </c>
      <c r="L16" s="16">
        <f>VLOOKUP(15,'tableau entrée 1'!$A$2:$AZ$23,12,FALSE)</f>
        <v>2786</v>
      </c>
      <c r="M16" s="16">
        <f>VLOOKUP(15,'tableau entrée 1'!$A$2:$AZ$23,13,FALSE)</f>
        <v>1960</v>
      </c>
      <c r="N16" s="16">
        <f>VLOOKUP(15,'tableau entrée 1'!$A$2:$AZ$23,14,FALSE)</f>
        <v>1702</v>
      </c>
      <c r="O16" s="16">
        <f>VLOOKUP(15,'tableau entrée 1'!$A$2:$AZ$23,15,FALSE)</f>
        <v>3558</v>
      </c>
      <c r="P16" s="16">
        <f>VLOOKUP(15,'tableau entrée 1'!$A$2:$AZ$23,16,FALSE)</f>
        <v>4921</v>
      </c>
      <c r="Q16" s="16">
        <f>VLOOKUP(15,'tableau entrée 1'!$A$2:$AZ$23,17,FALSE)</f>
        <v>3995</v>
      </c>
      <c r="R16" s="16">
        <f>VLOOKUP(15,'tableau entrée 1'!$A$2:$AZ$23,18,FALSE)</f>
        <v>5870</v>
      </c>
      <c r="S16" s="16">
        <f>VLOOKUP(15,'tableau entrée 1'!$A$2:$AZ$23,19,FALSE)</f>
        <v>5456</v>
      </c>
      <c r="T16" s="16">
        <f>VLOOKUP(15,'tableau entrée 1'!$A$2:$AZ$23,20,FALSE)</f>
        <v>5682</v>
      </c>
      <c r="U16" s="16">
        <f>VLOOKUP(15,'tableau entrée 1'!$A$2:$AZ$23,21,FALSE)</f>
        <v>4776</v>
      </c>
      <c r="V16" s="16">
        <f>VLOOKUP(15,'tableau entrée 1'!$A$2:$AZ$23,22,FALSE)</f>
        <v>4090</v>
      </c>
      <c r="W16" s="16">
        <f>VLOOKUP(15,'tableau entrée 1'!$A$2:$AZ$23,23,FALSE)</f>
        <v>3366</v>
      </c>
      <c r="X16" s="16">
        <f>VLOOKUP(15,'tableau entrée 1'!$A$2:$AZ$23,24,FALSE)</f>
        <v>3151</v>
      </c>
      <c r="Y16" s="16">
        <f>VLOOKUP(15,'tableau entrée 1'!$A$2:$AZ$23,25,FALSE)</f>
        <v>2120</v>
      </c>
      <c r="Z16" s="16">
        <f>VLOOKUP(15,'tableau entrée 1'!$A$2:$AZ$23,26,FALSE)</f>
        <v>2117</v>
      </c>
      <c r="AA16" s="16">
        <f>VLOOKUP(15,'tableau entrée 1'!$A$2:$AZ$23,27,FALSE)</f>
        <v>3144</v>
      </c>
      <c r="AB16" s="16">
        <f>VLOOKUP(15,'tableau entrée 1'!$A$2:$AZ$23,28,FALSE)</f>
        <v>5158</v>
      </c>
      <c r="AC16" s="16">
        <f>VLOOKUP(15,'tableau entrée 1'!$A$2:$AZ$23,29,FALSE)</f>
        <v>4296</v>
      </c>
      <c r="AD16" s="16">
        <f>VLOOKUP(15,'tableau entrée 1'!$A$2:$AZ$23,30,FALSE)</f>
        <v>4877</v>
      </c>
      <c r="AE16" s="16">
        <f>VLOOKUP(15,'tableau entrée 1'!$A$2:$AZ$23,31,FALSE)</f>
        <v>6222</v>
      </c>
      <c r="AF16" s="16">
        <f>VLOOKUP(15,'tableau entrée 1'!$A$2:$AZ$23,32,FALSE)</f>
        <v>5129</v>
      </c>
      <c r="AG16" s="16">
        <f>VLOOKUP(15,'tableau entrée 1'!$A$2:$AZ$23,33,FALSE)</f>
        <v>2972</v>
      </c>
      <c r="AH16" s="16">
        <f>VLOOKUP(15,'tableau entrée 1'!$A$2:$AZ$23,34,FALSE)</f>
        <v>2372</v>
      </c>
      <c r="AI16" s="16">
        <f>VLOOKUP(15,'tableau entrée 1'!$A$2:$AZ$23,35,FALSE)</f>
        <v>2411</v>
      </c>
      <c r="AJ16" s="16">
        <f>VLOOKUP(15,'tableau entrée 1'!$A$2:$AZ$23,36,FALSE)</f>
        <v>2212</v>
      </c>
    </row>
    <row r="17" spans="1:36" ht="12.75">
      <c r="A17" s="14">
        <v>16</v>
      </c>
      <c r="B17" s="15" t="s">
        <v>41</v>
      </c>
      <c r="C17" s="16" t="s">
        <v>111</v>
      </c>
      <c r="D17" s="16">
        <f>VLOOKUP(16,'tableau entrée 1'!$A$2:$AZ$23,4,FALSE)</f>
        <v>2103</v>
      </c>
      <c r="E17" s="16">
        <f>VLOOKUP(16,'tableau entrée 1'!$A$2:$AZ$23,5,FALSE)</f>
        <v>1797</v>
      </c>
      <c r="F17" s="16">
        <f>VLOOKUP(16,'tableau entrée 1'!$A$2:$AZ$23,6,FALSE)</f>
        <v>2229</v>
      </c>
      <c r="G17" s="16">
        <f>VLOOKUP(16,'tableau entrée 1'!$A$2:$AZ$23,7,FALSE)</f>
        <v>2390</v>
      </c>
      <c r="H17" s="16">
        <f>VLOOKUP(16,'tableau entrée 1'!$A$2:$AZ$23,8,FALSE)</f>
        <v>2912</v>
      </c>
      <c r="I17" s="16">
        <f>VLOOKUP(16,'tableau entrée 1'!$A$2:$AZ$23,9,FALSE)</f>
        <v>2266</v>
      </c>
      <c r="J17" s="16">
        <f>VLOOKUP(16,'tableau entrée 1'!$A$2:$AZ$23,10,FALSE)</f>
        <v>1779</v>
      </c>
      <c r="K17" s="16">
        <f>VLOOKUP(16,'tableau entrée 1'!$A$2:$AZ$23,11,FALSE)</f>
        <v>1497</v>
      </c>
      <c r="L17" s="16">
        <f>VLOOKUP(16,'tableau entrée 1'!$A$2:$AZ$23,12,FALSE)</f>
        <v>1495</v>
      </c>
      <c r="M17" s="16">
        <f>VLOOKUP(16,'tableau entrée 1'!$A$2:$AZ$23,13,FALSE)</f>
        <v>1144</v>
      </c>
      <c r="N17" s="16">
        <f>VLOOKUP(16,'tableau entrée 1'!$A$2:$AZ$23,14,FALSE)</f>
        <v>994</v>
      </c>
      <c r="O17" s="16">
        <f>VLOOKUP(16,'tableau entrée 1'!$A$2:$AZ$23,15,FALSE)</f>
        <v>1550</v>
      </c>
      <c r="P17" s="16">
        <f>VLOOKUP(16,'tableau entrée 1'!$A$2:$AZ$23,16,FALSE)</f>
        <v>1747</v>
      </c>
      <c r="Q17" s="16">
        <f>VLOOKUP(16,'tableau entrée 1'!$A$2:$AZ$23,17,FALSE)</f>
        <v>1462</v>
      </c>
      <c r="R17" s="16">
        <f>VLOOKUP(16,'tableau entrée 1'!$A$2:$AZ$23,18,FALSE)</f>
        <v>1884</v>
      </c>
      <c r="S17" s="16">
        <f>VLOOKUP(16,'tableau entrée 1'!$A$2:$AZ$23,19,FALSE)</f>
        <v>1666</v>
      </c>
      <c r="T17" s="16">
        <f>VLOOKUP(16,'tableau entrée 1'!$A$2:$AZ$23,20,FALSE)</f>
        <v>1827</v>
      </c>
      <c r="U17" s="16">
        <f>VLOOKUP(16,'tableau entrée 1'!$A$2:$AZ$23,21,FALSE)</f>
        <v>1683</v>
      </c>
      <c r="V17" s="16">
        <f>VLOOKUP(16,'tableau entrée 1'!$A$2:$AZ$23,22,FALSE)</f>
        <v>1433</v>
      </c>
      <c r="W17" s="16">
        <f>VLOOKUP(16,'tableau entrée 1'!$A$2:$AZ$23,23,FALSE)</f>
        <v>1127</v>
      </c>
      <c r="X17" s="16">
        <f>VLOOKUP(16,'tableau entrée 1'!$A$2:$AZ$23,24,FALSE)</f>
        <v>1155</v>
      </c>
      <c r="Y17" s="16">
        <f>VLOOKUP(16,'tableau entrée 1'!$A$2:$AZ$23,25,FALSE)</f>
        <v>887</v>
      </c>
      <c r="Z17" s="16">
        <f>VLOOKUP(16,'tableau entrée 1'!$A$2:$AZ$23,26,FALSE)</f>
        <v>926</v>
      </c>
      <c r="AA17" s="16">
        <f>VLOOKUP(16,'tableau entrée 1'!$A$2:$AZ$23,27,FALSE)</f>
        <v>1198</v>
      </c>
      <c r="AB17" s="16">
        <f>VLOOKUP(16,'tableau entrée 1'!$A$2:$AZ$23,28,FALSE)</f>
        <v>1622</v>
      </c>
      <c r="AC17" s="16">
        <f>VLOOKUP(16,'tableau entrée 1'!$A$2:$AZ$23,29,FALSE)</f>
        <v>1424</v>
      </c>
      <c r="AD17" s="16">
        <f>VLOOKUP(16,'tableau entrée 1'!$A$2:$AZ$23,30,FALSE)</f>
        <v>1576</v>
      </c>
      <c r="AE17" s="16">
        <f>VLOOKUP(16,'tableau entrée 1'!$A$2:$AZ$23,31,FALSE)</f>
        <v>1760</v>
      </c>
      <c r="AF17" s="16">
        <f>VLOOKUP(16,'tableau entrée 1'!$A$2:$AZ$23,32,FALSE)</f>
        <v>1479</v>
      </c>
      <c r="AG17" s="16">
        <f>VLOOKUP(16,'tableau entrée 1'!$A$2:$AZ$23,33,FALSE)</f>
        <v>1020</v>
      </c>
      <c r="AH17" s="16">
        <f>VLOOKUP(16,'tableau entrée 1'!$A$2:$AZ$23,34,FALSE)</f>
        <v>739</v>
      </c>
      <c r="AI17" s="16">
        <f>VLOOKUP(16,'tableau entrée 1'!$A$2:$AZ$23,35,FALSE)</f>
        <v>854</v>
      </c>
      <c r="AJ17" s="16">
        <f>VLOOKUP(16,'tableau entrée 1'!$A$2:$AZ$23,36,FALSE)</f>
        <v>847</v>
      </c>
    </row>
    <row r="18" spans="1:36" ht="12.75">
      <c r="A18" s="14">
        <v>17</v>
      </c>
      <c r="B18" s="15" t="s">
        <v>42</v>
      </c>
      <c r="C18" s="16" t="s">
        <v>111</v>
      </c>
      <c r="D18" s="16">
        <f>VLOOKUP(17,'tableau entrée 1'!$A$2:$AZ$23,4,FALSE)</f>
        <v>1825</v>
      </c>
      <c r="E18" s="16">
        <f>VLOOKUP(17,'tableau entrée 1'!$A$2:$AZ$23,5,FALSE)</f>
        <v>1706</v>
      </c>
      <c r="F18" s="16">
        <f>VLOOKUP(17,'tableau entrée 1'!$A$2:$AZ$23,6,FALSE)</f>
        <v>2086</v>
      </c>
      <c r="G18" s="16">
        <f>VLOOKUP(17,'tableau entrée 1'!$A$2:$AZ$23,7,FALSE)</f>
        <v>2101</v>
      </c>
      <c r="H18" s="16">
        <f>VLOOKUP(17,'tableau entrée 1'!$A$2:$AZ$23,8,FALSE)</f>
        <v>2782</v>
      </c>
      <c r="I18" s="16">
        <f>VLOOKUP(17,'tableau entrée 1'!$A$2:$AZ$23,9,FALSE)</f>
        <v>2161</v>
      </c>
      <c r="J18" s="16">
        <f>VLOOKUP(17,'tableau entrée 1'!$A$2:$AZ$23,10,FALSE)</f>
        <v>1440</v>
      </c>
      <c r="K18" s="16">
        <f>VLOOKUP(17,'tableau entrée 1'!$A$2:$AZ$23,11,FALSE)</f>
        <v>1067</v>
      </c>
      <c r="L18" s="16">
        <f>VLOOKUP(17,'tableau entrée 1'!$A$2:$AZ$23,12,FALSE)</f>
        <v>834</v>
      </c>
      <c r="M18" s="16">
        <f>VLOOKUP(17,'tableau entrée 1'!$A$2:$AZ$23,13,FALSE)</f>
        <v>451</v>
      </c>
      <c r="N18" s="16">
        <f>VLOOKUP(17,'tableau entrée 1'!$A$2:$AZ$23,14,FALSE)</f>
        <v>489</v>
      </c>
      <c r="O18" s="16">
        <f>VLOOKUP(17,'tableau entrée 1'!$A$2:$AZ$23,15,FALSE)</f>
        <v>951</v>
      </c>
      <c r="P18" s="16">
        <f>VLOOKUP(17,'tableau entrée 1'!$A$2:$AZ$23,16,FALSE)</f>
        <v>1532</v>
      </c>
      <c r="Q18" s="16">
        <f>VLOOKUP(17,'tableau entrée 1'!$A$2:$AZ$23,17,FALSE)</f>
        <v>1176</v>
      </c>
      <c r="R18" s="16">
        <f>VLOOKUP(17,'tableau entrée 1'!$A$2:$AZ$23,18,FALSE)</f>
        <v>1756</v>
      </c>
      <c r="S18" s="16">
        <f>VLOOKUP(17,'tableau entrée 1'!$A$2:$AZ$23,19,FALSE)</f>
        <v>1724</v>
      </c>
      <c r="T18" s="16">
        <f>VLOOKUP(17,'tableau entrée 1'!$A$2:$AZ$23,20,FALSE)</f>
        <v>1656</v>
      </c>
      <c r="U18" s="16">
        <f>VLOOKUP(17,'tableau entrée 1'!$A$2:$AZ$23,21,FALSE)</f>
        <v>1572</v>
      </c>
      <c r="V18" s="16">
        <f>VLOOKUP(17,'tableau entrée 1'!$A$2:$AZ$23,22,FALSE)</f>
        <v>1088</v>
      </c>
      <c r="W18" s="16">
        <f>VLOOKUP(17,'tableau entrée 1'!$A$2:$AZ$23,23,FALSE)</f>
        <v>961</v>
      </c>
      <c r="X18" s="16">
        <f>VLOOKUP(17,'tableau entrée 1'!$A$2:$AZ$23,24,FALSE)</f>
        <v>1067</v>
      </c>
      <c r="Y18" s="16">
        <f>VLOOKUP(17,'tableau entrée 1'!$A$2:$AZ$23,25,FALSE)</f>
        <v>611</v>
      </c>
      <c r="Z18" s="16">
        <f>VLOOKUP(17,'tableau entrée 1'!$A$2:$AZ$23,26,FALSE)</f>
        <v>560</v>
      </c>
      <c r="AA18" s="16">
        <f>VLOOKUP(17,'tableau entrée 1'!$A$2:$AZ$23,27,FALSE)</f>
        <v>922</v>
      </c>
      <c r="AB18" s="16">
        <f>VLOOKUP(17,'tableau entrée 1'!$A$2:$AZ$23,28,FALSE)</f>
        <v>1809</v>
      </c>
      <c r="AC18" s="16">
        <f>VLOOKUP(17,'tableau entrée 1'!$A$2:$AZ$23,29,FALSE)</f>
        <v>1562</v>
      </c>
      <c r="AD18" s="16">
        <f>VLOOKUP(17,'tableau entrée 1'!$A$2:$AZ$23,30,FALSE)</f>
        <v>1678</v>
      </c>
      <c r="AE18" s="16">
        <f>VLOOKUP(17,'tableau entrée 1'!$A$2:$AZ$23,31,FALSE)</f>
        <v>2204</v>
      </c>
      <c r="AF18" s="16">
        <f>VLOOKUP(17,'tableau entrée 1'!$A$2:$AZ$23,32,FALSE)</f>
        <v>1537</v>
      </c>
      <c r="AG18" s="16">
        <f>VLOOKUP(17,'tableau entrée 1'!$A$2:$AZ$23,33,FALSE)</f>
        <v>912</v>
      </c>
      <c r="AH18" s="16">
        <f>VLOOKUP(17,'tableau entrée 1'!$A$2:$AZ$23,34,FALSE)</f>
        <v>522</v>
      </c>
      <c r="AI18" s="16">
        <f>VLOOKUP(17,'tableau entrée 1'!$A$2:$AZ$23,35,FALSE)</f>
        <v>301</v>
      </c>
      <c r="AJ18" s="16">
        <f>VLOOKUP(17,'tableau entrée 1'!$A$2:$AZ$23,36,FALSE)</f>
        <v>274</v>
      </c>
    </row>
    <row r="19" spans="1:36" ht="12.75">
      <c r="A19" s="14">
        <v>18</v>
      </c>
      <c r="B19" s="15" t="s">
        <v>43</v>
      </c>
      <c r="C19" s="16" t="s">
        <v>111</v>
      </c>
      <c r="D19" s="16">
        <f>VLOOKUP(18,'tableau entrée 1'!$A$2:$AZ$23,4,FALSE)</f>
        <v>519</v>
      </c>
      <c r="E19" s="16">
        <f>VLOOKUP(18,'tableau entrée 1'!$A$2:$AZ$23,5,FALSE)</f>
        <v>493</v>
      </c>
      <c r="F19" s="16">
        <f>VLOOKUP(18,'tableau entrée 1'!$A$2:$AZ$23,6,FALSE)</f>
        <v>518</v>
      </c>
      <c r="G19" s="16">
        <f>VLOOKUP(18,'tableau entrée 1'!$A$2:$AZ$23,7,FALSE)</f>
        <v>516</v>
      </c>
      <c r="H19" s="16">
        <f>VLOOKUP(18,'tableau entrée 1'!$A$2:$AZ$23,8,FALSE)</f>
        <v>472</v>
      </c>
      <c r="I19" s="16">
        <f>VLOOKUP(18,'tableau entrée 1'!$A$2:$AZ$23,9,FALSE)</f>
        <v>555</v>
      </c>
      <c r="J19" s="16">
        <f>VLOOKUP(18,'tableau entrée 1'!$A$2:$AZ$23,10,FALSE)</f>
        <v>508</v>
      </c>
      <c r="K19" s="16">
        <f>VLOOKUP(18,'tableau entrée 1'!$A$2:$AZ$23,11,FALSE)</f>
        <v>480</v>
      </c>
      <c r="L19" s="16">
        <f>VLOOKUP(18,'tableau entrée 1'!$A$2:$AZ$23,12,FALSE)</f>
        <v>409</v>
      </c>
      <c r="M19" s="16">
        <f>VLOOKUP(18,'tableau entrée 1'!$A$2:$AZ$23,13,FALSE)</f>
        <v>411</v>
      </c>
      <c r="N19" s="16">
        <f>VLOOKUP(18,'tableau entrée 1'!$A$2:$AZ$23,14,FALSE)</f>
        <v>495</v>
      </c>
      <c r="O19" s="16">
        <f>VLOOKUP(18,'tableau entrée 1'!$A$2:$AZ$23,15,FALSE)</f>
        <v>511</v>
      </c>
      <c r="P19" s="16">
        <f>VLOOKUP(18,'tableau entrée 1'!$A$2:$AZ$23,16,FALSE)</f>
        <v>552</v>
      </c>
      <c r="Q19" s="16">
        <f>VLOOKUP(18,'tableau entrée 1'!$A$2:$AZ$23,17,FALSE)</f>
        <v>538</v>
      </c>
      <c r="R19" s="16">
        <f>VLOOKUP(18,'tableau entrée 1'!$A$2:$AZ$23,18,FALSE)</f>
        <v>537</v>
      </c>
      <c r="S19" s="16">
        <f>VLOOKUP(18,'tableau entrée 1'!$A$2:$AZ$23,19,FALSE)</f>
        <v>624</v>
      </c>
      <c r="T19" s="16">
        <f>VLOOKUP(18,'tableau entrée 1'!$A$2:$AZ$23,20,FALSE)</f>
        <v>509</v>
      </c>
      <c r="U19" s="16">
        <f>VLOOKUP(18,'tableau entrée 1'!$A$2:$AZ$23,21,FALSE)</f>
        <v>599</v>
      </c>
      <c r="V19" s="16">
        <f>VLOOKUP(18,'tableau entrée 1'!$A$2:$AZ$23,22,FALSE)</f>
        <v>434</v>
      </c>
      <c r="W19" s="16">
        <f>VLOOKUP(18,'tableau entrée 1'!$A$2:$AZ$23,23,FALSE)</f>
        <v>544</v>
      </c>
      <c r="X19" s="16">
        <f>VLOOKUP(18,'tableau entrée 1'!$A$2:$AZ$23,24,FALSE)</f>
        <v>471</v>
      </c>
      <c r="Y19" s="16">
        <f>VLOOKUP(18,'tableau entrée 1'!$A$2:$AZ$23,25,FALSE)</f>
        <v>419</v>
      </c>
      <c r="Z19" s="16">
        <f>VLOOKUP(18,'tableau entrée 1'!$A$2:$AZ$23,26,FALSE)</f>
        <v>491</v>
      </c>
      <c r="AA19" s="16">
        <f>VLOOKUP(18,'tableau entrée 1'!$A$2:$AZ$23,27,FALSE)</f>
        <v>557</v>
      </c>
      <c r="AB19" s="16">
        <f>VLOOKUP(18,'tableau entrée 1'!$A$2:$AZ$23,28,FALSE)</f>
        <v>592</v>
      </c>
      <c r="AC19" s="16">
        <f>VLOOKUP(18,'tableau entrée 1'!$A$2:$AZ$23,29,FALSE)</f>
        <v>551</v>
      </c>
      <c r="AD19" s="16">
        <f>VLOOKUP(18,'tableau entrée 1'!$A$2:$AZ$23,30,FALSE)</f>
        <v>505</v>
      </c>
      <c r="AE19" s="16">
        <f>VLOOKUP(18,'tableau entrée 1'!$A$2:$AZ$23,31,FALSE)</f>
        <v>695</v>
      </c>
      <c r="AF19" s="16">
        <f>VLOOKUP(18,'tableau entrée 1'!$A$2:$AZ$23,32,FALSE)</f>
        <v>554</v>
      </c>
      <c r="AG19" s="16">
        <f>VLOOKUP(18,'tableau entrée 1'!$A$2:$AZ$23,33,FALSE)</f>
        <v>480</v>
      </c>
      <c r="AH19" s="16">
        <f>VLOOKUP(18,'tableau entrée 1'!$A$2:$AZ$23,34,FALSE)</f>
        <v>444</v>
      </c>
      <c r="AI19" s="16">
        <f>VLOOKUP(18,'tableau entrée 1'!$A$2:$AZ$23,35,FALSE)</f>
        <v>506</v>
      </c>
      <c r="AJ19" s="16">
        <f>VLOOKUP(18,'tableau entrée 1'!$A$2:$AZ$23,36,FALSE)</f>
        <v>508</v>
      </c>
    </row>
    <row r="20" spans="1:36" ht="12.75">
      <c r="A20" s="14">
        <v>19</v>
      </c>
      <c r="B20" s="15" t="s">
        <v>44</v>
      </c>
      <c r="C20" s="16" t="s">
        <v>111</v>
      </c>
      <c r="D20" s="16">
        <f>VLOOKUP(19,'tableau entrée 1'!$A$2:$AZ$23,4,FALSE)</f>
        <v>622</v>
      </c>
      <c r="E20" s="16">
        <f>VLOOKUP(19,'tableau entrée 1'!$A$2:$AZ$23,5,FALSE)</f>
        <v>572</v>
      </c>
      <c r="F20" s="16">
        <f>VLOOKUP(19,'tableau entrée 1'!$A$2:$AZ$23,6,FALSE)</f>
        <v>722</v>
      </c>
      <c r="G20" s="16">
        <f>VLOOKUP(19,'tableau entrée 1'!$A$2:$AZ$23,7,FALSE)</f>
        <v>916</v>
      </c>
      <c r="H20" s="16">
        <f>VLOOKUP(19,'tableau entrée 1'!$A$2:$AZ$23,8,FALSE)</f>
        <v>1086</v>
      </c>
      <c r="I20" s="16">
        <f>VLOOKUP(19,'tableau entrée 1'!$A$2:$AZ$23,9,FALSE)</f>
        <v>1056</v>
      </c>
      <c r="J20" s="16">
        <f>VLOOKUP(19,'tableau entrée 1'!$A$2:$AZ$23,10,FALSE)</f>
        <v>690</v>
      </c>
      <c r="K20" s="16">
        <f>VLOOKUP(19,'tableau entrée 1'!$A$2:$AZ$23,11,FALSE)</f>
        <v>574</v>
      </c>
      <c r="L20" s="16">
        <f>VLOOKUP(19,'tableau entrée 1'!$A$2:$AZ$23,12,FALSE)</f>
        <v>430</v>
      </c>
      <c r="M20" s="16">
        <f>VLOOKUP(19,'tableau entrée 1'!$A$2:$AZ$23,13,FALSE)</f>
        <v>262</v>
      </c>
      <c r="N20" s="16">
        <f>VLOOKUP(19,'tableau entrée 1'!$A$2:$AZ$23,14,FALSE)</f>
        <v>258</v>
      </c>
      <c r="O20" s="16">
        <f>VLOOKUP(19,'tableau entrée 1'!$A$2:$AZ$23,15,FALSE)</f>
        <v>471</v>
      </c>
      <c r="P20" s="16">
        <f>VLOOKUP(19,'tableau entrée 1'!$A$2:$AZ$23,16,FALSE)</f>
        <v>555</v>
      </c>
      <c r="Q20" s="16">
        <f>VLOOKUP(19,'tableau entrée 1'!$A$2:$AZ$23,17,FALSE)</f>
        <v>486</v>
      </c>
      <c r="R20" s="16">
        <f>VLOOKUP(19,'tableau entrée 1'!$A$2:$AZ$23,18,FALSE)</f>
        <v>724</v>
      </c>
      <c r="S20" s="16">
        <f>VLOOKUP(19,'tableau entrée 1'!$A$2:$AZ$23,19,FALSE)</f>
        <v>922</v>
      </c>
      <c r="T20" s="16">
        <f>VLOOKUP(19,'tableau entrée 1'!$A$2:$AZ$23,20,FALSE)</f>
        <v>773</v>
      </c>
      <c r="U20" s="16">
        <f>VLOOKUP(19,'tableau entrée 1'!$A$2:$AZ$23,21,FALSE)</f>
        <v>807</v>
      </c>
      <c r="V20" s="16">
        <f>VLOOKUP(19,'tableau entrée 1'!$A$2:$AZ$23,22,FALSE)</f>
        <v>566</v>
      </c>
      <c r="W20" s="16">
        <f>VLOOKUP(19,'tableau entrée 1'!$A$2:$AZ$23,23,FALSE)</f>
        <v>522</v>
      </c>
      <c r="X20" s="16">
        <f>VLOOKUP(19,'tableau entrée 1'!$A$2:$AZ$23,24,FALSE)</f>
        <v>506</v>
      </c>
      <c r="Y20" s="16">
        <f>VLOOKUP(19,'tableau entrée 1'!$A$2:$AZ$23,25,FALSE)</f>
        <v>283</v>
      </c>
      <c r="Z20" s="16">
        <f>VLOOKUP(19,'tableau entrée 1'!$A$2:$AZ$23,26,FALSE)</f>
        <v>309</v>
      </c>
      <c r="AA20" s="16">
        <f>VLOOKUP(19,'tableau entrée 1'!$A$2:$AZ$23,27,FALSE)</f>
        <v>460</v>
      </c>
      <c r="AB20" s="16">
        <f>VLOOKUP(19,'tableau entrée 1'!$A$2:$AZ$23,28,FALSE)</f>
        <v>810</v>
      </c>
      <c r="AC20" s="16">
        <f>VLOOKUP(19,'tableau entrée 1'!$A$2:$AZ$23,29,FALSE)</f>
        <v>784</v>
      </c>
      <c r="AD20" s="16">
        <f>VLOOKUP(19,'tableau entrée 1'!$A$2:$AZ$23,30,FALSE)</f>
        <v>814</v>
      </c>
      <c r="AE20" s="16">
        <f>VLOOKUP(19,'tableau entrée 1'!$A$2:$AZ$23,31,FALSE)</f>
        <v>1432</v>
      </c>
      <c r="AF20" s="16">
        <f>VLOOKUP(19,'tableau entrée 1'!$A$2:$AZ$23,32,FALSE)</f>
        <v>1009</v>
      </c>
      <c r="AG20" s="16">
        <f>VLOOKUP(19,'tableau entrée 1'!$A$2:$AZ$23,33,FALSE)</f>
        <v>766</v>
      </c>
      <c r="AH20" s="16">
        <f>VLOOKUP(19,'tableau entrée 1'!$A$2:$AZ$23,34,FALSE)</f>
        <v>637</v>
      </c>
      <c r="AI20" s="16">
        <f>VLOOKUP(19,'tableau entrée 1'!$A$2:$AZ$23,35,FALSE)</f>
        <v>608</v>
      </c>
      <c r="AJ20" s="16">
        <f>VLOOKUP(19,'tableau entrée 1'!$A$2:$AZ$23,36,FALSE)</f>
        <v>484</v>
      </c>
    </row>
    <row r="21" spans="1:36" ht="12.75">
      <c r="A21" s="14">
        <v>20</v>
      </c>
      <c r="B21" s="15" t="s">
        <v>45</v>
      </c>
      <c r="C21" s="16" t="s">
        <v>111</v>
      </c>
      <c r="D21" s="16">
        <f>VLOOKUP(20,'tableau entrée 1'!$A$2:$AZ$23,4,FALSE)</f>
        <v>754</v>
      </c>
      <c r="E21" s="16">
        <f>VLOOKUP(20,'tableau entrée 1'!$A$2:$AZ$23,5,FALSE)</f>
        <v>860</v>
      </c>
      <c r="F21" s="16">
        <f>VLOOKUP(20,'tableau entrée 1'!$A$2:$AZ$23,6,FALSE)</f>
        <v>1045</v>
      </c>
      <c r="G21" s="16">
        <f>VLOOKUP(20,'tableau entrée 1'!$A$2:$AZ$23,7,FALSE)</f>
        <v>1055</v>
      </c>
      <c r="H21" s="16">
        <f>VLOOKUP(20,'tableau entrée 1'!$A$2:$AZ$23,8,FALSE)</f>
        <v>1307</v>
      </c>
      <c r="I21" s="16">
        <f>VLOOKUP(20,'tableau entrée 1'!$A$2:$AZ$23,9,FALSE)</f>
        <v>1288</v>
      </c>
      <c r="J21" s="16">
        <f>VLOOKUP(20,'tableau entrée 1'!$A$2:$AZ$23,10,FALSE)</f>
        <v>797</v>
      </c>
      <c r="K21" s="16">
        <f>VLOOKUP(20,'tableau entrée 1'!$A$2:$AZ$23,11,FALSE)</f>
        <v>678</v>
      </c>
      <c r="L21" s="16">
        <f>VLOOKUP(20,'tableau entrée 1'!$A$2:$AZ$23,12,FALSE)</f>
        <v>445</v>
      </c>
      <c r="M21" s="16">
        <f>VLOOKUP(20,'tableau entrée 1'!$A$2:$AZ$23,13,FALSE)</f>
        <v>275</v>
      </c>
      <c r="N21" s="16">
        <f>VLOOKUP(20,'tableau entrée 1'!$A$2:$AZ$23,14,FALSE)</f>
        <v>246</v>
      </c>
      <c r="O21" s="16">
        <f>VLOOKUP(20,'tableau entrée 1'!$A$2:$AZ$23,15,FALSE)</f>
        <v>483</v>
      </c>
      <c r="P21" s="16">
        <f>VLOOKUP(20,'tableau entrée 1'!$A$2:$AZ$23,16,FALSE)</f>
        <v>777</v>
      </c>
      <c r="Q21" s="16">
        <f>VLOOKUP(20,'tableau entrée 1'!$A$2:$AZ$23,17,FALSE)</f>
        <v>625</v>
      </c>
      <c r="R21" s="16">
        <f>VLOOKUP(20,'tableau entrée 1'!$A$2:$AZ$23,18,FALSE)</f>
        <v>841</v>
      </c>
      <c r="S21" s="16">
        <f>VLOOKUP(20,'tableau entrée 1'!$A$2:$AZ$23,19,FALSE)</f>
        <v>925</v>
      </c>
      <c r="T21" s="16">
        <f>VLOOKUP(20,'tableau entrée 1'!$A$2:$AZ$23,20,FALSE)</f>
        <v>1002</v>
      </c>
      <c r="U21" s="16">
        <f>VLOOKUP(20,'tableau entrée 1'!$A$2:$AZ$23,21,FALSE)</f>
        <v>892</v>
      </c>
      <c r="V21" s="16">
        <f>VLOOKUP(20,'tableau entrée 1'!$A$2:$AZ$23,22,FALSE)</f>
        <v>632</v>
      </c>
      <c r="W21" s="16">
        <f>VLOOKUP(20,'tableau entrée 1'!$A$2:$AZ$23,23,FALSE)</f>
        <v>499</v>
      </c>
      <c r="X21" s="16">
        <f>VLOOKUP(20,'tableau entrée 1'!$A$2:$AZ$23,24,FALSE)</f>
        <v>440</v>
      </c>
      <c r="Y21" s="16">
        <f>VLOOKUP(20,'tableau entrée 1'!$A$2:$AZ$23,25,FALSE)</f>
        <v>239</v>
      </c>
      <c r="Z21" s="16">
        <f>VLOOKUP(20,'tableau entrée 1'!$A$2:$AZ$23,26,FALSE)</f>
        <v>287</v>
      </c>
      <c r="AA21" s="16">
        <f>VLOOKUP(20,'tableau entrée 1'!$A$2:$AZ$23,27,FALSE)</f>
        <v>520</v>
      </c>
      <c r="AB21" s="16">
        <f>VLOOKUP(20,'tableau entrée 1'!$A$2:$AZ$23,28,FALSE)</f>
        <v>876</v>
      </c>
      <c r="AC21" s="16">
        <f>VLOOKUP(20,'tableau entrée 1'!$A$2:$AZ$23,29,FALSE)</f>
        <v>797</v>
      </c>
      <c r="AD21" s="16">
        <f>VLOOKUP(20,'tableau entrée 1'!$A$2:$AZ$23,30,FALSE)</f>
        <v>883</v>
      </c>
      <c r="AE21" s="16">
        <f>VLOOKUP(20,'tableau entrée 1'!$A$2:$AZ$23,31,FALSE)</f>
        <v>1404</v>
      </c>
      <c r="AF21" s="16">
        <f>VLOOKUP(20,'tableau entrée 1'!$A$2:$AZ$23,32,FALSE)</f>
        <v>1181</v>
      </c>
      <c r="AG21" s="16">
        <f>VLOOKUP(20,'tableau entrée 1'!$A$2:$AZ$23,33,FALSE)</f>
        <v>765</v>
      </c>
      <c r="AH21" s="16">
        <f>VLOOKUP(20,'tableau entrée 1'!$A$2:$AZ$23,34,FALSE)</f>
        <v>636</v>
      </c>
      <c r="AI21" s="16">
        <f>VLOOKUP(20,'tableau entrée 1'!$A$2:$AZ$23,35,FALSE)</f>
        <v>511</v>
      </c>
      <c r="AJ21" s="16">
        <f>VLOOKUP(20,'tableau entrée 1'!$A$2:$AZ$23,36,FALSE)</f>
        <v>483</v>
      </c>
    </row>
    <row r="22" spans="1:36" ht="12.75">
      <c r="A22" s="14">
        <v>21</v>
      </c>
      <c r="B22" s="15" t="s">
        <v>46</v>
      </c>
      <c r="C22" s="16" t="s">
        <v>111</v>
      </c>
      <c r="D22" s="16">
        <f>VLOOKUP(21,'tableau entrée 1'!$A$2:$AZ$23,4,FALSE)</f>
        <v>1547</v>
      </c>
      <c r="E22" s="16">
        <f>VLOOKUP(21,'tableau entrée 1'!$A$2:$AZ$23,5,FALSE)</f>
        <v>1438</v>
      </c>
      <c r="F22" s="16">
        <f>VLOOKUP(21,'tableau entrée 1'!$A$2:$AZ$23,6,FALSE)</f>
        <v>1683</v>
      </c>
      <c r="G22" s="16">
        <f>VLOOKUP(21,'tableau entrée 1'!$A$2:$AZ$23,7,FALSE)</f>
        <v>1777</v>
      </c>
      <c r="H22" s="16">
        <f>VLOOKUP(21,'tableau entrée 1'!$A$2:$AZ$23,8,FALSE)</f>
        <v>1980</v>
      </c>
      <c r="I22" s="16">
        <f>VLOOKUP(21,'tableau entrée 1'!$A$2:$AZ$23,9,FALSE)</f>
        <v>1875</v>
      </c>
      <c r="J22" s="16">
        <f>VLOOKUP(21,'tableau entrée 1'!$A$2:$AZ$23,10,FALSE)</f>
        <v>1563</v>
      </c>
      <c r="K22" s="16">
        <f>VLOOKUP(21,'tableau entrée 1'!$A$2:$AZ$23,11,FALSE)</f>
        <v>1380</v>
      </c>
      <c r="L22" s="16">
        <f>VLOOKUP(21,'tableau entrée 1'!$A$2:$AZ$23,12,FALSE)</f>
        <v>1292</v>
      </c>
      <c r="M22" s="16">
        <f>VLOOKUP(21,'tableau entrée 1'!$A$2:$AZ$23,13,FALSE)</f>
        <v>1228</v>
      </c>
      <c r="N22" s="16">
        <f>VLOOKUP(21,'tableau entrée 1'!$A$2:$AZ$23,14,FALSE)</f>
        <v>1182</v>
      </c>
      <c r="O22" s="16">
        <f>VLOOKUP(21,'tableau entrée 1'!$A$2:$AZ$23,15,FALSE)</f>
        <v>1472</v>
      </c>
      <c r="P22" s="16">
        <f>VLOOKUP(21,'tableau entrée 1'!$A$2:$AZ$23,16,FALSE)</f>
        <v>1632</v>
      </c>
      <c r="Q22" s="16">
        <f>VLOOKUP(21,'tableau entrée 1'!$A$2:$AZ$23,17,FALSE)</f>
        <v>1399</v>
      </c>
      <c r="R22" s="16">
        <f>VLOOKUP(21,'tableau entrée 1'!$A$2:$AZ$23,18,FALSE)</f>
        <v>1863</v>
      </c>
      <c r="S22" s="16">
        <f>VLOOKUP(21,'tableau entrée 1'!$A$2:$AZ$23,19,FALSE)</f>
        <v>1827</v>
      </c>
      <c r="T22" s="16">
        <f>VLOOKUP(21,'tableau entrée 1'!$A$2:$AZ$23,20,FALSE)</f>
        <v>1789</v>
      </c>
      <c r="U22" s="16">
        <f>VLOOKUP(21,'tableau entrée 1'!$A$2:$AZ$23,21,FALSE)</f>
        <v>1676</v>
      </c>
      <c r="V22" s="16">
        <f>VLOOKUP(21,'tableau entrée 1'!$A$2:$AZ$23,22,FALSE)</f>
        <v>1275</v>
      </c>
      <c r="W22" s="16">
        <f>VLOOKUP(21,'tableau entrée 1'!$A$2:$AZ$23,23,FALSE)</f>
        <v>1405</v>
      </c>
      <c r="X22" s="16">
        <f>VLOOKUP(21,'tableau entrée 1'!$A$2:$AZ$23,24,FALSE)</f>
        <v>1393</v>
      </c>
      <c r="Y22" s="16">
        <f>VLOOKUP(21,'tableau entrée 1'!$A$2:$AZ$23,25,FALSE)</f>
        <v>1303</v>
      </c>
      <c r="Z22" s="16">
        <f>VLOOKUP(21,'tableau entrée 1'!$A$2:$AZ$23,26,FALSE)</f>
        <v>1332</v>
      </c>
      <c r="AA22" s="16">
        <f>VLOOKUP(21,'tableau entrée 1'!$A$2:$AZ$23,27,FALSE)</f>
        <v>1496</v>
      </c>
      <c r="AB22" s="16">
        <f>VLOOKUP(21,'tableau entrée 1'!$A$2:$AZ$23,28,FALSE)</f>
        <v>1835</v>
      </c>
      <c r="AC22" s="16">
        <f>VLOOKUP(21,'tableau entrée 1'!$A$2:$AZ$23,29,FALSE)</f>
        <v>1651</v>
      </c>
      <c r="AD22" s="16">
        <f>VLOOKUP(21,'tableau entrée 1'!$A$2:$AZ$23,30,FALSE)</f>
        <v>1581</v>
      </c>
      <c r="AE22" s="16">
        <f>VLOOKUP(21,'tableau entrée 1'!$A$2:$AZ$23,31,FALSE)</f>
        <v>2233</v>
      </c>
      <c r="AF22" s="16">
        <f>VLOOKUP(21,'tableau entrée 1'!$A$2:$AZ$23,32,FALSE)</f>
        <v>1869</v>
      </c>
      <c r="AG22" s="16">
        <f>VLOOKUP(21,'tableau entrée 1'!$A$2:$AZ$23,33,FALSE)</f>
        <v>1569</v>
      </c>
      <c r="AH22" s="16">
        <f>VLOOKUP(21,'tableau entrée 1'!$A$2:$AZ$23,34,FALSE)</f>
        <v>1329</v>
      </c>
      <c r="AI22" s="16">
        <f>VLOOKUP(21,'tableau entrée 1'!$A$2:$AZ$23,35,FALSE)</f>
        <v>1391</v>
      </c>
      <c r="AJ22" s="16">
        <f>VLOOKUP(21,'tableau entrée 1'!$A$2:$AZ$23,36,FALSE)</f>
        <v>1386</v>
      </c>
    </row>
    <row r="23" spans="1:36" ht="12.75">
      <c r="A23" s="14">
        <v>22</v>
      </c>
      <c r="B23" s="15" t="s">
        <v>47</v>
      </c>
      <c r="C23" s="16" t="s">
        <v>111</v>
      </c>
      <c r="D23" s="16">
        <f>VLOOKUP(22,'tableau entrée 1'!$A$2:$AZ$23,4,FALSE)</f>
        <v>802</v>
      </c>
      <c r="E23" s="16">
        <f>VLOOKUP(22,'tableau entrée 1'!$A$2:$AZ$23,5,FALSE)</f>
        <v>699</v>
      </c>
      <c r="F23" s="16">
        <f>VLOOKUP(22,'tableau entrée 1'!$A$2:$AZ$23,6,FALSE)</f>
        <v>580</v>
      </c>
      <c r="G23" s="16">
        <f>VLOOKUP(22,'tableau entrée 1'!$A$2:$AZ$23,7,FALSE)</f>
        <v>639</v>
      </c>
      <c r="H23" s="16">
        <f>VLOOKUP(22,'tableau entrée 1'!$A$2:$AZ$23,8,FALSE)</f>
        <v>487</v>
      </c>
      <c r="I23" s="16">
        <f>VLOOKUP(22,'tableau entrée 1'!$A$2:$AZ$23,9,FALSE)</f>
        <v>638</v>
      </c>
      <c r="J23" s="16">
        <f>VLOOKUP(22,'tableau entrée 1'!$A$2:$AZ$23,10,FALSE)</f>
        <v>616</v>
      </c>
      <c r="K23" s="16">
        <f>VLOOKUP(22,'tableau entrée 1'!$A$2:$AZ$23,11,FALSE)</f>
        <v>646</v>
      </c>
      <c r="L23" s="16">
        <f>VLOOKUP(22,'tableau entrée 1'!$A$2:$AZ$23,12,FALSE)</f>
        <v>735</v>
      </c>
      <c r="M23" s="16">
        <f>VLOOKUP(22,'tableau entrée 1'!$A$2:$AZ$23,13,FALSE)</f>
        <v>787</v>
      </c>
      <c r="N23" s="16">
        <f>VLOOKUP(22,'tableau entrée 1'!$A$2:$AZ$23,14,FALSE)</f>
        <v>693</v>
      </c>
      <c r="O23" s="16">
        <f>VLOOKUP(22,'tableau entrée 1'!$A$2:$AZ$23,15,FALSE)</f>
        <v>804</v>
      </c>
      <c r="P23" s="16">
        <f>VLOOKUP(22,'tableau entrée 1'!$A$2:$AZ$23,16,FALSE)</f>
        <v>618</v>
      </c>
      <c r="Q23" s="16">
        <f>VLOOKUP(22,'tableau entrée 1'!$A$2:$AZ$23,17,FALSE)</f>
        <v>593</v>
      </c>
      <c r="R23" s="16">
        <f>VLOOKUP(22,'tableau entrée 1'!$A$2:$AZ$23,18,FALSE)</f>
        <v>538</v>
      </c>
      <c r="S23" s="16">
        <f>VLOOKUP(22,'tableau entrée 1'!$A$2:$AZ$23,19,FALSE)</f>
        <v>496</v>
      </c>
      <c r="T23" s="16">
        <f>VLOOKUP(22,'tableau entrée 1'!$A$2:$AZ$23,20,FALSE)</f>
        <v>518</v>
      </c>
      <c r="U23" s="16">
        <f>VLOOKUP(22,'tableau entrée 1'!$A$2:$AZ$23,21,FALSE)</f>
        <v>640</v>
      </c>
      <c r="V23" s="16">
        <f>VLOOKUP(22,'tableau entrée 1'!$A$2:$AZ$23,22,FALSE)</f>
        <v>562</v>
      </c>
      <c r="W23" s="16">
        <f>VLOOKUP(22,'tableau entrée 1'!$A$2:$AZ$23,23,FALSE)</f>
        <v>611</v>
      </c>
      <c r="X23" s="16">
        <f>VLOOKUP(22,'tableau entrée 1'!$A$2:$AZ$23,24,FALSE)</f>
        <v>721</v>
      </c>
      <c r="Y23" s="16">
        <f>VLOOKUP(22,'tableau entrée 1'!$A$2:$AZ$23,25,FALSE)</f>
        <v>859</v>
      </c>
      <c r="Z23" s="16">
        <f>VLOOKUP(22,'tableau entrée 1'!$A$2:$AZ$23,26,FALSE)</f>
        <v>837</v>
      </c>
      <c r="AA23" s="16">
        <f>VLOOKUP(22,'tableau entrée 1'!$A$2:$AZ$23,27,FALSE)</f>
        <v>786</v>
      </c>
      <c r="AB23" s="16">
        <f>VLOOKUP(22,'tableau entrée 1'!$A$2:$AZ$23,28,FALSE)</f>
        <v>744</v>
      </c>
      <c r="AC23" s="16">
        <f>VLOOKUP(22,'tableau entrée 1'!$A$2:$AZ$23,29,FALSE)</f>
        <v>649</v>
      </c>
      <c r="AD23" s="16">
        <f>VLOOKUP(22,'tableau entrée 1'!$A$2:$AZ$23,30,FALSE)</f>
        <v>520</v>
      </c>
      <c r="AE23" s="16">
        <f>VLOOKUP(22,'tableau entrée 1'!$A$2:$AZ$23,31,FALSE)</f>
        <v>550</v>
      </c>
      <c r="AF23" s="16">
        <f>VLOOKUP(22,'tableau entrée 1'!$A$2:$AZ$23,32,FALSE)</f>
        <v>459</v>
      </c>
      <c r="AG23" s="16">
        <f>VLOOKUP(22,'tableau entrée 1'!$A$2:$AZ$23,33,FALSE)</f>
        <v>536</v>
      </c>
      <c r="AH23" s="16">
        <f>VLOOKUP(22,'tableau entrée 1'!$A$2:$AZ$23,34,FALSE)</f>
        <v>530</v>
      </c>
      <c r="AI23" s="16">
        <f>VLOOKUP(22,'tableau entrée 1'!$A$2:$AZ$23,35,FALSE)</f>
        <v>526</v>
      </c>
      <c r="AJ23" s="16">
        <f>VLOOKUP(22,'tableau entrée 1'!$A$2:$AZ$23,36,FALSE)</f>
        <v>661</v>
      </c>
    </row>
    <row r="24" spans="3:34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3:34" ht="12.7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2:36" ht="12.75">
      <c r="B26" s="17" t="s">
        <v>49</v>
      </c>
      <c r="C26" s="12" t="s">
        <v>50</v>
      </c>
      <c r="D26" s="12" t="s">
        <v>51</v>
      </c>
      <c r="E26" s="12" t="s">
        <v>52</v>
      </c>
      <c r="F26" s="12" t="s">
        <v>53</v>
      </c>
      <c r="G26" s="12" t="s">
        <v>54</v>
      </c>
      <c r="H26" s="12" t="s">
        <v>55</v>
      </c>
      <c r="I26" s="12" t="s">
        <v>56</v>
      </c>
      <c r="J26" s="12" t="s">
        <v>57</v>
      </c>
      <c r="K26" s="12" t="s">
        <v>58</v>
      </c>
      <c r="L26" s="12" t="s">
        <v>59</v>
      </c>
      <c r="M26" s="12" t="s">
        <v>60</v>
      </c>
      <c r="N26" s="12" t="s">
        <v>61</v>
      </c>
      <c r="O26" s="12" t="s">
        <v>62</v>
      </c>
      <c r="P26" s="12" t="s">
        <v>63</v>
      </c>
      <c r="Q26" s="13">
        <v>38657</v>
      </c>
      <c r="R26" s="13">
        <v>38687</v>
      </c>
      <c r="S26" s="13">
        <v>38718</v>
      </c>
      <c r="T26" s="13">
        <v>38749</v>
      </c>
      <c r="U26" s="13">
        <v>38777</v>
      </c>
      <c r="V26" s="13">
        <v>38808</v>
      </c>
      <c r="W26" s="13">
        <v>38838</v>
      </c>
      <c r="X26" s="13">
        <v>38869</v>
      </c>
      <c r="Y26" s="13">
        <v>38899</v>
      </c>
      <c r="Z26" s="13">
        <v>38930</v>
      </c>
      <c r="AA26" s="13">
        <v>38961</v>
      </c>
      <c r="AB26" s="13">
        <v>38991</v>
      </c>
      <c r="AC26" s="13">
        <v>39022</v>
      </c>
      <c r="AD26" s="13">
        <v>39052</v>
      </c>
      <c r="AE26" s="13">
        <v>39083</v>
      </c>
      <c r="AF26" s="13">
        <v>39114</v>
      </c>
      <c r="AG26" s="13">
        <v>39142</v>
      </c>
      <c r="AH26" s="13">
        <v>39173</v>
      </c>
      <c r="AI26" s="13">
        <v>39203</v>
      </c>
      <c r="AJ26" s="13">
        <v>39234</v>
      </c>
    </row>
    <row r="27" spans="2:36" ht="12.75">
      <c r="B27" s="18" t="s">
        <v>26</v>
      </c>
      <c r="C27" s="19" t="s">
        <v>113</v>
      </c>
      <c r="D27" s="19">
        <f aca="true" t="shared" si="0" ref="D27:AD36">IF(ISERROR(D2),0,D2)</f>
        <v>5824</v>
      </c>
      <c r="E27" s="19">
        <f t="shared" si="0"/>
        <v>5339</v>
      </c>
      <c r="F27" s="19">
        <f t="shared" si="0"/>
        <v>6442</v>
      </c>
      <c r="G27" s="19">
        <f t="shared" si="0"/>
        <v>7188</v>
      </c>
      <c r="H27" s="19">
        <f t="shared" si="0"/>
        <v>9678</v>
      </c>
      <c r="I27" s="19">
        <f t="shared" si="0"/>
        <v>7404</v>
      </c>
      <c r="J27" s="19">
        <f t="shared" si="0"/>
        <v>5683</v>
      </c>
      <c r="K27" s="19">
        <f t="shared" si="0"/>
        <v>4617</v>
      </c>
      <c r="L27" s="19">
        <f t="shared" si="0"/>
        <v>4765</v>
      </c>
      <c r="M27" s="19">
        <f t="shared" si="0"/>
        <v>3749</v>
      </c>
      <c r="N27" s="19">
        <f t="shared" si="0"/>
        <v>3242</v>
      </c>
      <c r="O27" s="19">
        <f t="shared" si="0"/>
        <v>5200</v>
      </c>
      <c r="P27" s="19">
        <f t="shared" si="0"/>
        <v>6318</v>
      </c>
      <c r="Q27" s="19">
        <f t="shared" si="0"/>
        <v>6471</v>
      </c>
      <c r="R27" s="19">
        <f t="shared" si="0"/>
        <v>9042</v>
      </c>
      <c r="S27" s="19">
        <f t="shared" si="0"/>
        <v>7628</v>
      </c>
      <c r="T27" s="19">
        <f t="shared" si="0"/>
        <v>8687</v>
      </c>
      <c r="U27" s="19">
        <f t="shared" si="0"/>
        <v>7730</v>
      </c>
      <c r="V27" s="19">
        <f t="shared" si="0"/>
        <v>6660</v>
      </c>
      <c r="W27" s="19">
        <f t="shared" si="0"/>
        <v>5513</v>
      </c>
      <c r="X27" s="19">
        <f t="shared" si="0"/>
        <v>5625</v>
      </c>
      <c r="Y27" s="19">
        <f t="shared" si="0"/>
        <v>4384</v>
      </c>
      <c r="Z27" s="19">
        <f t="shared" si="0"/>
        <v>3929</v>
      </c>
      <c r="AA27" s="19">
        <f t="shared" si="0"/>
        <v>5606</v>
      </c>
      <c r="AB27" s="19">
        <f t="shared" si="0"/>
        <v>7785</v>
      </c>
      <c r="AC27" s="19">
        <f t="shared" si="0"/>
        <v>6678</v>
      </c>
      <c r="AD27" s="19">
        <f t="shared" si="0"/>
        <v>7873</v>
      </c>
      <c r="AE27" s="19">
        <f aca="true" t="shared" si="1" ref="AE27:AF35">IF(ISERROR(AE2),0,AE2)</f>
        <v>12296</v>
      </c>
      <c r="AF27" s="19">
        <f t="shared" si="1"/>
        <v>13073</v>
      </c>
      <c r="AG27" s="19">
        <f aca="true" t="shared" si="2" ref="AG27:AH48">IF(ISERROR(AG2),0,AG2)</f>
        <v>9548</v>
      </c>
      <c r="AH27" s="19">
        <f t="shared" si="2"/>
        <v>7798</v>
      </c>
      <c r="AI27" s="19">
        <f aca="true" t="shared" si="3" ref="AI27:AJ48">IF(ISERROR(AI2),0,AI2)</f>
        <v>8765</v>
      </c>
      <c r="AJ27" s="19">
        <f t="shared" si="3"/>
        <v>8198</v>
      </c>
    </row>
    <row r="28" spans="2:36" ht="12.75">
      <c r="B28" s="18" t="s">
        <v>27</v>
      </c>
      <c r="C28" s="19" t="s">
        <v>113</v>
      </c>
      <c r="D28" s="19">
        <f t="shared" si="0"/>
        <v>4746</v>
      </c>
      <c r="E28" s="19">
        <f t="shared" si="0"/>
        <v>4300</v>
      </c>
      <c r="F28" s="19">
        <f t="shared" si="0"/>
        <v>5340</v>
      </c>
      <c r="G28" s="19">
        <f t="shared" si="0"/>
        <v>5976</v>
      </c>
      <c r="H28" s="19">
        <f t="shared" si="0"/>
        <v>7561</v>
      </c>
      <c r="I28" s="19">
        <f t="shared" si="0"/>
        <v>6727</v>
      </c>
      <c r="J28" s="19">
        <f t="shared" si="0"/>
        <v>5656</v>
      </c>
      <c r="K28" s="19">
        <f t="shared" si="0"/>
        <v>4377</v>
      </c>
      <c r="L28" s="19">
        <f t="shared" si="0"/>
        <v>4226</v>
      </c>
      <c r="M28" s="19">
        <f t="shared" si="0"/>
        <v>3477</v>
      </c>
      <c r="N28" s="19">
        <f t="shared" si="0"/>
        <v>3213</v>
      </c>
      <c r="O28" s="19">
        <f t="shared" si="0"/>
        <v>4291</v>
      </c>
      <c r="P28" s="19">
        <f t="shared" si="0"/>
        <v>5045</v>
      </c>
      <c r="Q28" s="19">
        <f t="shared" si="0"/>
        <v>4810</v>
      </c>
      <c r="R28" s="19">
        <f t="shared" si="0"/>
        <v>7090</v>
      </c>
      <c r="S28" s="19">
        <f t="shared" si="0"/>
        <v>6546</v>
      </c>
      <c r="T28" s="19">
        <f t="shared" si="0"/>
        <v>7217</v>
      </c>
      <c r="U28" s="19">
        <f t="shared" si="0"/>
        <v>6254</v>
      </c>
      <c r="V28" s="19">
        <f t="shared" si="0"/>
        <v>5384</v>
      </c>
      <c r="W28" s="19">
        <f t="shared" si="0"/>
        <v>4660</v>
      </c>
      <c r="X28" s="19">
        <f t="shared" si="0"/>
        <v>4481</v>
      </c>
      <c r="Y28" s="19">
        <f t="shared" si="0"/>
        <v>3816</v>
      </c>
      <c r="Z28" s="19">
        <f t="shared" si="0"/>
        <v>4040</v>
      </c>
      <c r="AA28" s="19">
        <f t="shared" si="0"/>
        <v>4321</v>
      </c>
      <c r="AB28" s="19">
        <f t="shared" si="0"/>
        <v>6131</v>
      </c>
      <c r="AC28" s="19">
        <f t="shared" si="0"/>
        <v>5422</v>
      </c>
      <c r="AD28" s="19">
        <f t="shared" si="0"/>
        <v>6312</v>
      </c>
      <c r="AE28" s="19">
        <f t="shared" si="1"/>
        <v>10031</v>
      </c>
      <c r="AF28" s="19">
        <f t="shared" si="1"/>
        <v>9510</v>
      </c>
      <c r="AG28" s="19">
        <f t="shared" si="2"/>
        <v>6797</v>
      </c>
      <c r="AH28" s="19">
        <f t="shared" si="2"/>
        <v>5715</v>
      </c>
      <c r="AI28" s="19">
        <f t="shared" si="3"/>
        <v>6054</v>
      </c>
      <c r="AJ28" s="19">
        <f t="shared" si="3"/>
        <v>5247</v>
      </c>
    </row>
    <row r="29" spans="2:36" ht="12.75">
      <c r="B29" s="18" t="s">
        <v>28</v>
      </c>
      <c r="C29" s="19" t="s">
        <v>113</v>
      </c>
      <c r="D29" s="19">
        <f t="shared" si="0"/>
        <v>274</v>
      </c>
      <c r="E29" s="19">
        <f t="shared" si="0"/>
        <v>234</v>
      </c>
      <c r="F29" s="19">
        <f t="shared" si="0"/>
        <v>224</v>
      </c>
      <c r="G29" s="19">
        <f t="shared" si="0"/>
        <v>198</v>
      </c>
      <c r="H29" s="19">
        <f t="shared" si="0"/>
        <v>174</v>
      </c>
      <c r="I29" s="19">
        <f t="shared" si="0"/>
        <v>233</v>
      </c>
      <c r="J29" s="19">
        <f t="shared" si="0"/>
        <v>219</v>
      </c>
      <c r="K29" s="19">
        <f t="shared" si="0"/>
        <v>238</v>
      </c>
      <c r="L29" s="19">
        <f t="shared" si="0"/>
        <v>254</v>
      </c>
      <c r="M29" s="19">
        <f t="shared" si="0"/>
        <v>313</v>
      </c>
      <c r="N29" s="19">
        <f t="shared" si="0"/>
        <v>289</v>
      </c>
      <c r="O29" s="19">
        <f t="shared" si="0"/>
        <v>313</v>
      </c>
      <c r="P29" s="19">
        <f t="shared" si="0"/>
        <v>187</v>
      </c>
      <c r="Q29" s="19">
        <f t="shared" si="0"/>
        <v>198</v>
      </c>
      <c r="R29" s="19">
        <f t="shared" si="0"/>
        <v>221</v>
      </c>
      <c r="S29" s="19">
        <f t="shared" si="0"/>
        <v>207</v>
      </c>
      <c r="T29" s="19">
        <f t="shared" si="0"/>
        <v>206</v>
      </c>
      <c r="U29" s="19">
        <f t="shared" si="0"/>
        <v>297</v>
      </c>
      <c r="V29" s="19">
        <f t="shared" si="0"/>
        <v>216</v>
      </c>
      <c r="W29" s="19">
        <f t="shared" si="0"/>
        <v>276</v>
      </c>
      <c r="X29" s="19">
        <f t="shared" si="0"/>
        <v>314</v>
      </c>
      <c r="Y29" s="19">
        <f t="shared" si="0"/>
        <v>351</v>
      </c>
      <c r="Z29" s="19">
        <f t="shared" si="0"/>
        <v>399</v>
      </c>
      <c r="AA29" s="19">
        <f t="shared" si="0"/>
        <v>288</v>
      </c>
      <c r="AB29" s="19">
        <f t="shared" si="0"/>
        <v>251</v>
      </c>
      <c r="AC29" s="19">
        <f t="shared" si="0"/>
        <v>228</v>
      </c>
      <c r="AD29" s="19">
        <f t="shared" si="0"/>
        <v>202</v>
      </c>
      <c r="AE29" s="19">
        <f t="shared" si="1"/>
        <v>241</v>
      </c>
      <c r="AF29" s="19">
        <f t="shared" si="1"/>
        <v>173</v>
      </c>
      <c r="AG29" s="19">
        <f t="shared" si="2"/>
        <v>219</v>
      </c>
      <c r="AH29" s="19">
        <f t="shared" si="2"/>
        <v>189</v>
      </c>
      <c r="AI29" s="19">
        <f t="shared" si="3"/>
        <v>282</v>
      </c>
      <c r="AJ29" s="19">
        <f t="shared" si="3"/>
        <v>300</v>
      </c>
    </row>
    <row r="30" spans="2:36" ht="12.75">
      <c r="B30" s="18" t="s">
        <v>29</v>
      </c>
      <c r="C30" s="19" t="s">
        <v>113</v>
      </c>
      <c r="D30" s="19">
        <f t="shared" si="0"/>
        <v>437</v>
      </c>
      <c r="E30" s="19">
        <f t="shared" si="0"/>
        <v>388</v>
      </c>
      <c r="F30" s="19">
        <f t="shared" si="0"/>
        <v>381</v>
      </c>
      <c r="G30" s="19">
        <f t="shared" si="0"/>
        <v>335</v>
      </c>
      <c r="H30" s="19">
        <f t="shared" si="0"/>
        <v>277</v>
      </c>
      <c r="I30" s="19">
        <f t="shared" si="0"/>
        <v>372</v>
      </c>
      <c r="J30" s="19">
        <f t="shared" si="0"/>
        <v>405</v>
      </c>
      <c r="K30" s="19">
        <f t="shared" si="0"/>
        <v>410</v>
      </c>
      <c r="L30" s="19">
        <f t="shared" si="0"/>
        <v>537</v>
      </c>
      <c r="M30" s="19">
        <f t="shared" si="0"/>
        <v>563</v>
      </c>
      <c r="N30" s="19">
        <f t="shared" si="0"/>
        <v>515</v>
      </c>
      <c r="O30" s="19">
        <f t="shared" si="0"/>
        <v>551</v>
      </c>
      <c r="P30" s="19">
        <f t="shared" si="0"/>
        <v>510</v>
      </c>
      <c r="Q30" s="19">
        <f t="shared" si="0"/>
        <v>528</v>
      </c>
      <c r="R30" s="19">
        <f t="shared" si="0"/>
        <v>503</v>
      </c>
      <c r="S30" s="19">
        <f t="shared" si="0"/>
        <v>392</v>
      </c>
      <c r="T30" s="19">
        <f t="shared" si="0"/>
        <v>387</v>
      </c>
      <c r="U30" s="19">
        <f t="shared" si="0"/>
        <v>461</v>
      </c>
      <c r="V30" s="19">
        <f t="shared" si="0"/>
        <v>403</v>
      </c>
      <c r="W30" s="19">
        <f t="shared" si="0"/>
        <v>463</v>
      </c>
      <c r="X30" s="19">
        <f t="shared" si="0"/>
        <v>558</v>
      </c>
      <c r="Y30" s="19">
        <f t="shared" si="0"/>
        <v>604</v>
      </c>
      <c r="Z30" s="19">
        <f t="shared" si="0"/>
        <v>506</v>
      </c>
      <c r="AA30" s="19">
        <f t="shared" si="0"/>
        <v>552</v>
      </c>
      <c r="AB30" s="19">
        <f t="shared" si="0"/>
        <v>574</v>
      </c>
      <c r="AC30" s="19">
        <f t="shared" si="0"/>
        <v>445</v>
      </c>
      <c r="AD30" s="19">
        <f t="shared" si="0"/>
        <v>426</v>
      </c>
      <c r="AE30" s="19">
        <f t="shared" si="1"/>
        <v>403</v>
      </c>
      <c r="AF30" s="19">
        <f t="shared" si="1"/>
        <v>337</v>
      </c>
      <c r="AG30" s="19">
        <f t="shared" si="2"/>
        <v>450</v>
      </c>
      <c r="AH30" s="19">
        <f t="shared" si="2"/>
        <v>375</v>
      </c>
      <c r="AI30" s="19">
        <f t="shared" si="3"/>
        <v>488</v>
      </c>
      <c r="AJ30" s="19">
        <f t="shared" si="3"/>
        <v>530</v>
      </c>
    </row>
    <row r="31" spans="2:36" ht="12.75">
      <c r="B31" s="18" t="s">
        <v>30</v>
      </c>
      <c r="C31" s="19" t="s">
        <v>113</v>
      </c>
      <c r="D31" s="19">
        <f t="shared" si="0"/>
        <v>377</v>
      </c>
      <c r="E31" s="19">
        <f t="shared" si="0"/>
        <v>358</v>
      </c>
      <c r="F31" s="19">
        <f t="shared" si="0"/>
        <v>410</v>
      </c>
      <c r="G31" s="19">
        <f t="shared" si="0"/>
        <v>554</v>
      </c>
      <c r="H31" s="19">
        <f t="shared" si="0"/>
        <v>653</v>
      </c>
      <c r="I31" s="19">
        <f t="shared" si="0"/>
        <v>451</v>
      </c>
      <c r="J31" s="19">
        <f t="shared" si="0"/>
        <v>330</v>
      </c>
      <c r="K31" s="19">
        <f t="shared" si="0"/>
        <v>222</v>
      </c>
      <c r="L31" s="19">
        <f t="shared" si="0"/>
        <v>204</v>
      </c>
      <c r="M31" s="19">
        <f t="shared" si="0"/>
        <v>130</v>
      </c>
      <c r="N31" s="19">
        <f t="shared" si="0"/>
        <v>146</v>
      </c>
      <c r="O31" s="19">
        <f t="shared" si="0"/>
        <v>279</v>
      </c>
      <c r="P31" s="19">
        <f t="shared" si="0"/>
        <v>317</v>
      </c>
      <c r="Q31" s="19">
        <f t="shared" si="0"/>
        <v>285</v>
      </c>
      <c r="R31" s="19">
        <f t="shared" si="0"/>
        <v>506</v>
      </c>
      <c r="S31" s="19">
        <f t="shared" si="0"/>
        <v>406</v>
      </c>
      <c r="T31" s="19">
        <f t="shared" si="0"/>
        <v>552</v>
      </c>
      <c r="U31" s="19">
        <f t="shared" si="0"/>
        <v>420</v>
      </c>
      <c r="V31" s="19">
        <f t="shared" si="0"/>
        <v>285</v>
      </c>
      <c r="W31" s="19">
        <f t="shared" si="0"/>
        <v>233</v>
      </c>
      <c r="X31" s="19">
        <f t="shared" si="0"/>
        <v>223</v>
      </c>
      <c r="Y31" s="19">
        <f t="shared" si="0"/>
        <v>185</v>
      </c>
      <c r="Z31" s="19">
        <f t="shared" si="0"/>
        <v>196</v>
      </c>
      <c r="AA31" s="19">
        <f t="shared" si="0"/>
        <v>217</v>
      </c>
      <c r="AB31" s="19">
        <f t="shared" si="0"/>
        <v>362</v>
      </c>
      <c r="AC31" s="19">
        <f t="shared" si="0"/>
        <v>317</v>
      </c>
      <c r="AD31" s="19">
        <f t="shared" si="0"/>
        <v>408</v>
      </c>
      <c r="AE31" s="19">
        <f t="shared" si="1"/>
        <v>560</v>
      </c>
      <c r="AF31" s="19">
        <f t="shared" si="1"/>
        <v>430</v>
      </c>
      <c r="AG31" s="19">
        <f t="shared" si="2"/>
        <v>300</v>
      </c>
      <c r="AH31" s="19">
        <f t="shared" si="2"/>
        <v>153</v>
      </c>
      <c r="AI31" s="19">
        <f t="shared" si="3"/>
        <v>195</v>
      </c>
      <c r="AJ31" s="19">
        <f t="shared" si="3"/>
        <v>184</v>
      </c>
    </row>
    <row r="32" spans="2:36" ht="12.75">
      <c r="B32" s="18" t="s">
        <v>31</v>
      </c>
      <c r="C32" s="19" t="s">
        <v>113</v>
      </c>
      <c r="D32" s="19">
        <f t="shared" si="0"/>
        <v>474</v>
      </c>
      <c r="E32" s="19">
        <f t="shared" si="0"/>
        <v>416</v>
      </c>
      <c r="F32" s="19">
        <f t="shared" si="0"/>
        <v>452</v>
      </c>
      <c r="G32" s="19">
        <f t="shared" si="0"/>
        <v>592</v>
      </c>
      <c r="H32" s="19">
        <f t="shared" si="0"/>
        <v>779</v>
      </c>
      <c r="I32" s="19">
        <f t="shared" si="0"/>
        <v>523</v>
      </c>
      <c r="J32" s="19">
        <f t="shared" si="0"/>
        <v>429</v>
      </c>
      <c r="K32" s="19">
        <f t="shared" si="0"/>
        <v>280</v>
      </c>
      <c r="L32" s="19">
        <f t="shared" si="0"/>
        <v>257</v>
      </c>
      <c r="M32" s="19">
        <f t="shared" si="0"/>
        <v>179</v>
      </c>
      <c r="N32" s="19">
        <f t="shared" si="0"/>
        <v>130</v>
      </c>
      <c r="O32" s="19">
        <f t="shared" si="0"/>
        <v>272</v>
      </c>
      <c r="P32" s="19">
        <f t="shared" si="0"/>
        <v>408</v>
      </c>
      <c r="Q32" s="19">
        <f t="shared" si="0"/>
        <v>343</v>
      </c>
      <c r="R32" s="19">
        <f t="shared" si="0"/>
        <v>510</v>
      </c>
      <c r="S32" s="19">
        <f t="shared" si="0"/>
        <v>386</v>
      </c>
      <c r="T32" s="19">
        <f t="shared" si="0"/>
        <v>480</v>
      </c>
      <c r="U32" s="19">
        <f t="shared" si="0"/>
        <v>390</v>
      </c>
      <c r="V32" s="19">
        <f t="shared" si="0"/>
        <v>299</v>
      </c>
      <c r="W32" s="19">
        <f t="shared" si="0"/>
        <v>222</v>
      </c>
      <c r="X32" s="19">
        <f t="shared" si="0"/>
        <v>241</v>
      </c>
      <c r="Y32" s="19">
        <f t="shared" si="0"/>
        <v>151</v>
      </c>
      <c r="Z32" s="19">
        <f t="shared" si="0"/>
        <v>104</v>
      </c>
      <c r="AA32" s="19">
        <f t="shared" si="0"/>
        <v>212</v>
      </c>
      <c r="AB32" s="19">
        <f t="shared" si="0"/>
        <v>304</v>
      </c>
      <c r="AC32" s="19">
        <f t="shared" si="0"/>
        <v>160</v>
      </c>
      <c r="AD32" s="19">
        <f t="shared" si="0"/>
        <v>177</v>
      </c>
      <c r="AE32" s="19">
        <f t="shared" si="1"/>
        <v>218</v>
      </c>
      <c r="AF32" s="19">
        <f t="shared" si="1"/>
        <v>136</v>
      </c>
      <c r="AG32" s="19">
        <f t="shared" si="2"/>
        <v>71</v>
      </c>
      <c r="AH32" s="19">
        <f t="shared" si="2"/>
        <v>39</v>
      </c>
      <c r="AI32" s="19">
        <f t="shared" si="3"/>
        <v>46</v>
      </c>
      <c r="AJ32" s="19">
        <f t="shared" si="3"/>
        <v>37</v>
      </c>
    </row>
    <row r="33" spans="2:36" ht="12.75">
      <c r="B33" s="18" t="s">
        <v>32</v>
      </c>
      <c r="C33" s="19" t="s">
        <v>113</v>
      </c>
      <c r="D33" s="19">
        <f t="shared" si="0"/>
        <v>1205</v>
      </c>
      <c r="E33" s="19">
        <f t="shared" si="0"/>
        <v>1037</v>
      </c>
      <c r="F33" s="19">
        <f t="shared" si="0"/>
        <v>1332</v>
      </c>
      <c r="G33" s="19">
        <f t="shared" si="0"/>
        <v>1401</v>
      </c>
      <c r="H33" s="19">
        <f t="shared" si="0"/>
        <v>1881</v>
      </c>
      <c r="I33" s="19">
        <f t="shared" si="0"/>
        <v>1547</v>
      </c>
      <c r="J33" s="19">
        <f t="shared" si="0"/>
        <v>1260</v>
      </c>
      <c r="K33" s="19">
        <f t="shared" si="0"/>
        <v>878</v>
      </c>
      <c r="L33" s="19">
        <f t="shared" si="0"/>
        <v>812</v>
      </c>
      <c r="M33" s="19">
        <f t="shared" si="0"/>
        <v>575</v>
      </c>
      <c r="N33" s="19">
        <f t="shared" si="0"/>
        <v>351</v>
      </c>
      <c r="O33" s="19">
        <f t="shared" si="0"/>
        <v>859</v>
      </c>
      <c r="P33" s="19">
        <f t="shared" si="0"/>
        <v>1211</v>
      </c>
      <c r="Q33" s="19">
        <f t="shared" si="0"/>
        <v>1036</v>
      </c>
      <c r="R33" s="19">
        <f t="shared" si="0"/>
        <v>1666</v>
      </c>
      <c r="S33" s="19">
        <f t="shared" si="0"/>
        <v>1364</v>
      </c>
      <c r="T33" s="19">
        <f t="shared" si="0"/>
        <v>1712</v>
      </c>
      <c r="U33" s="19">
        <f t="shared" si="0"/>
        <v>1435</v>
      </c>
      <c r="V33" s="19">
        <f t="shared" si="0"/>
        <v>1159</v>
      </c>
      <c r="W33" s="19">
        <f t="shared" si="0"/>
        <v>746</v>
      </c>
      <c r="X33" s="19">
        <f t="shared" si="0"/>
        <v>750</v>
      </c>
      <c r="Y33" s="19">
        <f t="shared" si="0"/>
        <v>505</v>
      </c>
      <c r="Z33" s="19">
        <f t="shared" si="0"/>
        <v>456</v>
      </c>
      <c r="AA33" s="19">
        <f t="shared" si="0"/>
        <v>751</v>
      </c>
      <c r="AB33" s="19">
        <f t="shared" si="0"/>
        <v>1303</v>
      </c>
      <c r="AC33" s="19">
        <f t="shared" si="0"/>
        <v>1068</v>
      </c>
      <c r="AD33" s="19">
        <f t="shared" si="0"/>
        <v>1498</v>
      </c>
      <c r="AE33" s="19">
        <f t="shared" si="1"/>
        <v>1830</v>
      </c>
      <c r="AF33" s="19">
        <f t="shared" si="1"/>
        <v>1593</v>
      </c>
      <c r="AG33" s="19">
        <f t="shared" si="2"/>
        <v>900</v>
      </c>
      <c r="AH33" s="19">
        <f t="shared" si="2"/>
        <v>603</v>
      </c>
      <c r="AI33" s="19">
        <f t="shared" si="3"/>
        <v>684</v>
      </c>
      <c r="AJ33" s="19">
        <f t="shared" si="3"/>
        <v>595</v>
      </c>
    </row>
    <row r="34" spans="2:36" ht="12.75">
      <c r="B34" s="18" t="s">
        <v>33</v>
      </c>
      <c r="C34" s="19" t="s">
        <v>113</v>
      </c>
      <c r="D34" s="19">
        <f t="shared" si="0"/>
        <v>3054</v>
      </c>
      <c r="E34" s="19">
        <f t="shared" si="0"/>
        <v>2492</v>
      </c>
      <c r="F34" s="19">
        <f t="shared" si="0"/>
        <v>3194</v>
      </c>
      <c r="G34" s="19">
        <f t="shared" si="0"/>
        <v>3653</v>
      </c>
      <c r="H34" s="19">
        <f t="shared" si="0"/>
        <v>5049</v>
      </c>
      <c r="I34" s="19">
        <f t="shared" si="0"/>
        <v>3936</v>
      </c>
      <c r="J34" s="19">
        <f t="shared" si="0"/>
        <v>2819</v>
      </c>
      <c r="K34" s="19">
        <f t="shared" si="0"/>
        <v>2067</v>
      </c>
      <c r="L34" s="19">
        <f t="shared" si="0"/>
        <v>1660</v>
      </c>
      <c r="M34" s="19">
        <f t="shared" si="0"/>
        <v>999</v>
      </c>
      <c r="N34" s="19">
        <f t="shared" si="0"/>
        <v>938</v>
      </c>
      <c r="O34" s="19">
        <f t="shared" si="0"/>
        <v>1729</v>
      </c>
      <c r="P34" s="19">
        <f t="shared" si="0"/>
        <v>2076</v>
      </c>
      <c r="Q34" s="19">
        <f t="shared" si="0"/>
        <v>1867</v>
      </c>
      <c r="R34" s="19">
        <f t="shared" si="0"/>
        <v>2860</v>
      </c>
      <c r="S34" s="19">
        <f t="shared" si="0"/>
        <v>2800</v>
      </c>
      <c r="T34" s="19">
        <f t="shared" si="0"/>
        <v>2723</v>
      </c>
      <c r="U34" s="19">
        <f t="shared" si="0"/>
        <v>2305</v>
      </c>
      <c r="V34" s="19">
        <f t="shared" si="0"/>
        <v>1722</v>
      </c>
      <c r="W34" s="19">
        <f t="shared" si="0"/>
        <v>1379</v>
      </c>
      <c r="X34" s="19">
        <f t="shared" si="0"/>
        <v>1217</v>
      </c>
      <c r="Y34" s="19">
        <f t="shared" si="0"/>
        <v>824</v>
      </c>
      <c r="Z34" s="19">
        <f t="shared" si="0"/>
        <v>929</v>
      </c>
      <c r="AA34" s="19">
        <f t="shared" si="0"/>
        <v>1248</v>
      </c>
      <c r="AB34" s="19">
        <f t="shared" si="0"/>
        <v>1895</v>
      </c>
      <c r="AC34" s="19">
        <f t="shared" si="0"/>
        <v>1741</v>
      </c>
      <c r="AD34" s="19">
        <f t="shared" si="0"/>
        <v>2021</v>
      </c>
      <c r="AE34" s="19">
        <f t="shared" si="1"/>
        <v>2909</v>
      </c>
      <c r="AF34" s="19">
        <f t="shared" si="1"/>
        <v>2316</v>
      </c>
      <c r="AG34" s="19">
        <f t="shared" si="2"/>
        <v>1444</v>
      </c>
      <c r="AH34" s="19">
        <f t="shared" si="2"/>
        <v>1196</v>
      </c>
      <c r="AI34" s="19">
        <f t="shared" si="3"/>
        <v>1080</v>
      </c>
      <c r="AJ34" s="19">
        <f t="shared" si="3"/>
        <v>962</v>
      </c>
    </row>
    <row r="35" spans="2:36" ht="12.75">
      <c r="B35" s="18" t="s">
        <v>34</v>
      </c>
      <c r="C35" s="19" t="s">
        <v>113</v>
      </c>
      <c r="D35" s="19">
        <f t="shared" si="0"/>
        <v>1760</v>
      </c>
      <c r="E35" s="19">
        <f t="shared" si="0"/>
        <v>1537</v>
      </c>
      <c r="F35" s="19">
        <f t="shared" si="0"/>
        <v>1837</v>
      </c>
      <c r="G35" s="19">
        <f t="shared" si="0"/>
        <v>2216</v>
      </c>
      <c r="H35" s="19">
        <f t="shared" si="0"/>
        <v>2838</v>
      </c>
      <c r="I35" s="19">
        <f t="shared" si="0"/>
        <v>2266</v>
      </c>
      <c r="J35" s="19">
        <f t="shared" si="0"/>
        <v>1946</v>
      </c>
      <c r="K35" s="19">
        <f t="shared" si="0"/>
        <v>1462</v>
      </c>
      <c r="L35" s="19">
        <f t="shared" si="0"/>
        <v>1444</v>
      </c>
      <c r="M35" s="19">
        <f t="shared" si="0"/>
        <v>1152</v>
      </c>
      <c r="N35" s="19">
        <f t="shared" si="0"/>
        <v>958</v>
      </c>
      <c r="O35" s="19">
        <f t="shared" si="0"/>
        <v>1393</v>
      </c>
      <c r="P35" s="19">
        <f t="shared" si="0"/>
        <v>1660</v>
      </c>
      <c r="Q35" s="19">
        <f t="shared" si="0"/>
        <v>1363</v>
      </c>
      <c r="R35" s="19">
        <f t="shared" si="0"/>
        <v>1932</v>
      </c>
      <c r="S35" s="19">
        <f t="shared" si="0"/>
        <v>1717</v>
      </c>
      <c r="T35" s="19">
        <f t="shared" si="0"/>
        <v>2064</v>
      </c>
      <c r="U35" s="19">
        <f t="shared" si="0"/>
        <v>1814</v>
      </c>
      <c r="V35" s="19">
        <f t="shared" si="0"/>
        <v>1533</v>
      </c>
      <c r="W35" s="19">
        <f t="shared" si="0"/>
        <v>1321</v>
      </c>
      <c r="X35" s="19">
        <f t="shared" si="0"/>
        <v>1352</v>
      </c>
      <c r="Y35" s="19">
        <f t="shared" si="0"/>
        <v>1222</v>
      </c>
      <c r="Z35" s="19">
        <f t="shared" si="0"/>
        <v>1230</v>
      </c>
      <c r="AA35" s="19">
        <f t="shared" si="0"/>
        <v>1395</v>
      </c>
      <c r="AB35" s="19">
        <f t="shared" si="0"/>
        <v>1847</v>
      </c>
      <c r="AC35" s="19">
        <f t="shared" si="0"/>
        <v>1591</v>
      </c>
      <c r="AD35" s="19">
        <f t="shared" si="0"/>
        <v>1896</v>
      </c>
      <c r="AE35" s="19">
        <f t="shared" si="1"/>
        <v>2294</v>
      </c>
      <c r="AF35" s="19">
        <f t="shared" si="1"/>
        <v>1991</v>
      </c>
      <c r="AG35" s="19">
        <f t="shared" si="2"/>
        <v>1421</v>
      </c>
      <c r="AH35" s="19">
        <f t="shared" si="2"/>
        <v>1201</v>
      </c>
      <c r="AI35" s="19">
        <f t="shared" si="3"/>
        <v>1310</v>
      </c>
      <c r="AJ35" s="19">
        <f t="shared" si="3"/>
        <v>1282</v>
      </c>
    </row>
    <row r="36" spans="2:36" ht="12.75">
      <c r="B36" s="18" t="s">
        <v>35</v>
      </c>
      <c r="C36" s="19" t="s">
        <v>113</v>
      </c>
      <c r="D36" s="19">
        <f t="shared" si="0"/>
        <v>6427</v>
      </c>
      <c r="E36" s="19">
        <f t="shared" si="0"/>
        <v>5781</v>
      </c>
      <c r="F36" s="19">
        <f t="shared" si="0"/>
        <v>7592</v>
      </c>
      <c r="G36" s="19">
        <f t="shared" si="0"/>
        <v>8567</v>
      </c>
      <c r="H36" s="19">
        <f t="shared" si="0"/>
        <v>10822</v>
      </c>
      <c r="I36" s="19">
        <f t="shared" si="0"/>
        <v>8886</v>
      </c>
      <c r="J36" s="19">
        <f t="shared" si="0"/>
        <v>7517</v>
      </c>
      <c r="K36" s="19">
        <f t="shared" si="0"/>
        <v>5311</v>
      </c>
      <c r="L36" s="19">
        <f t="shared" si="0"/>
        <v>5190</v>
      </c>
      <c r="M36" s="19">
        <f t="shared" si="0"/>
        <v>3750</v>
      </c>
      <c r="N36" s="19">
        <f t="shared" si="0"/>
        <v>2981</v>
      </c>
      <c r="O36" s="19">
        <f t="shared" si="0"/>
        <v>5024</v>
      </c>
      <c r="P36" s="19">
        <f aca="true" t="shared" si="4" ref="P36:AD36">IF(ISERROR(P11),0,P11)</f>
        <v>6192</v>
      </c>
      <c r="Q36" s="19">
        <f t="shared" si="4"/>
        <v>5247</v>
      </c>
      <c r="R36" s="19">
        <f t="shared" si="4"/>
        <v>8386</v>
      </c>
      <c r="S36" s="19">
        <f t="shared" si="4"/>
        <v>7575</v>
      </c>
      <c r="T36" s="19">
        <f t="shared" si="4"/>
        <v>9315</v>
      </c>
      <c r="U36" s="19">
        <f t="shared" si="4"/>
        <v>7967</v>
      </c>
      <c r="V36" s="19">
        <f t="shared" si="4"/>
        <v>6581</v>
      </c>
      <c r="W36" s="19">
        <f t="shared" si="4"/>
        <v>5305</v>
      </c>
      <c r="X36" s="19">
        <f t="shared" si="4"/>
        <v>5337</v>
      </c>
      <c r="Y36" s="19">
        <f t="shared" si="4"/>
        <v>4478</v>
      </c>
      <c r="Z36" s="19">
        <f t="shared" si="4"/>
        <v>4046</v>
      </c>
      <c r="AA36" s="19">
        <f t="shared" si="4"/>
        <v>5025</v>
      </c>
      <c r="AB36" s="19">
        <f t="shared" si="4"/>
        <v>7706</v>
      </c>
      <c r="AC36" s="19">
        <f t="shared" si="4"/>
        <v>6828</v>
      </c>
      <c r="AD36" s="19">
        <f t="shared" si="4"/>
        <v>8451</v>
      </c>
      <c r="AE36" s="19">
        <f aca="true" t="shared" si="5" ref="AE36:AF45">IF(ISERROR(AE11),0,AE11)</f>
        <v>10484</v>
      </c>
      <c r="AF36" s="19">
        <f t="shared" si="5"/>
        <v>8941</v>
      </c>
      <c r="AG36" s="19">
        <f t="shared" si="2"/>
        <v>5991</v>
      </c>
      <c r="AH36" s="19">
        <f t="shared" si="2"/>
        <v>4478</v>
      </c>
      <c r="AI36" s="19">
        <f t="shared" si="3"/>
        <v>4852</v>
      </c>
      <c r="AJ36" s="19">
        <f t="shared" si="3"/>
        <v>4464</v>
      </c>
    </row>
    <row r="37" spans="2:36" ht="12.75">
      <c r="B37" s="18" t="s">
        <v>36</v>
      </c>
      <c r="C37" s="19" t="s">
        <v>113</v>
      </c>
      <c r="D37" s="19">
        <f aca="true" t="shared" si="6" ref="D37:AD46">IF(ISERROR(D12),0,D12)</f>
        <v>678</v>
      </c>
      <c r="E37" s="19">
        <f t="shared" si="6"/>
        <v>606</v>
      </c>
      <c r="F37" s="19">
        <f t="shared" si="6"/>
        <v>801</v>
      </c>
      <c r="G37" s="19">
        <f t="shared" si="6"/>
        <v>875</v>
      </c>
      <c r="H37" s="19">
        <f t="shared" si="6"/>
        <v>1187</v>
      </c>
      <c r="I37" s="19">
        <f t="shared" si="6"/>
        <v>946</v>
      </c>
      <c r="J37" s="19">
        <f t="shared" si="6"/>
        <v>660</v>
      </c>
      <c r="K37" s="19">
        <f t="shared" si="6"/>
        <v>473</v>
      </c>
      <c r="L37" s="19">
        <f t="shared" si="6"/>
        <v>344</v>
      </c>
      <c r="M37" s="19">
        <f t="shared" si="6"/>
        <v>223</v>
      </c>
      <c r="N37" s="19">
        <f t="shared" si="6"/>
        <v>256</v>
      </c>
      <c r="O37" s="19">
        <f t="shared" si="6"/>
        <v>397</v>
      </c>
      <c r="P37" s="19">
        <f t="shared" si="6"/>
        <v>505</v>
      </c>
      <c r="Q37" s="19">
        <f t="shared" si="6"/>
        <v>416</v>
      </c>
      <c r="R37" s="19">
        <f t="shared" si="6"/>
        <v>615</v>
      </c>
      <c r="S37" s="19">
        <f t="shared" si="6"/>
        <v>680</v>
      </c>
      <c r="T37" s="19">
        <f t="shared" si="6"/>
        <v>662</v>
      </c>
      <c r="U37" s="19">
        <f t="shared" si="6"/>
        <v>555</v>
      </c>
      <c r="V37" s="19">
        <f t="shared" si="6"/>
        <v>414</v>
      </c>
      <c r="W37" s="19">
        <f t="shared" si="6"/>
        <v>374</v>
      </c>
      <c r="X37" s="19">
        <f t="shared" si="6"/>
        <v>299</v>
      </c>
      <c r="Y37" s="19">
        <f t="shared" si="6"/>
        <v>178</v>
      </c>
      <c r="Z37" s="19">
        <f t="shared" si="6"/>
        <v>227</v>
      </c>
      <c r="AA37" s="19">
        <f t="shared" si="6"/>
        <v>345</v>
      </c>
      <c r="AB37" s="19">
        <f t="shared" si="6"/>
        <v>536</v>
      </c>
      <c r="AC37" s="19">
        <f t="shared" si="6"/>
        <v>517</v>
      </c>
      <c r="AD37" s="19">
        <f t="shared" si="6"/>
        <v>531</v>
      </c>
      <c r="AE37" s="19">
        <f t="shared" si="5"/>
        <v>857</v>
      </c>
      <c r="AF37" s="19">
        <f t="shared" si="5"/>
        <v>667</v>
      </c>
      <c r="AG37" s="19">
        <f t="shared" si="2"/>
        <v>432</v>
      </c>
      <c r="AH37" s="19">
        <f t="shared" si="2"/>
        <v>339</v>
      </c>
      <c r="AI37" s="19">
        <f t="shared" si="3"/>
        <v>305</v>
      </c>
      <c r="AJ37" s="19">
        <f t="shared" si="3"/>
        <v>295</v>
      </c>
    </row>
    <row r="38" spans="2:36" ht="12.75">
      <c r="B38" s="18" t="s">
        <v>37</v>
      </c>
      <c r="C38" s="19" t="s">
        <v>113</v>
      </c>
      <c r="D38" s="19">
        <f t="shared" si="6"/>
        <v>889</v>
      </c>
      <c r="E38" s="19">
        <f t="shared" si="6"/>
        <v>785</v>
      </c>
      <c r="F38" s="19">
        <f t="shared" si="6"/>
        <v>965</v>
      </c>
      <c r="G38" s="19">
        <f t="shared" si="6"/>
        <v>1297</v>
      </c>
      <c r="H38" s="19">
        <f t="shared" si="6"/>
        <v>1738</v>
      </c>
      <c r="I38" s="19">
        <f t="shared" si="6"/>
        <v>1583</v>
      </c>
      <c r="J38" s="19">
        <f t="shared" si="6"/>
        <v>963</v>
      </c>
      <c r="K38" s="19">
        <f t="shared" si="6"/>
        <v>787</v>
      </c>
      <c r="L38" s="19">
        <f t="shared" si="6"/>
        <v>698</v>
      </c>
      <c r="M38" s="19">
        <f t="shared" si="6"/>
        <v>497</v>
      </c>
      <c r="N38" s="19">
        <f t="shared" si="6"/>
        <v>482</v>
      </c>
      <c r="O38" s="19">
        <f t="shared" si="6"/>
        <v>639</v>
      </c>
      <c r="P38" s="19">
        <f t="shared" si="6"/>
        <v>869</v>
      </c>
      <c r="Q38" s="19">
        <f t="shared" si="6"/>
        <v>835</v>
      </c>
      <c r="R38" s="19">
        <f t="shared" si="6"/>
        <v>1056</v>
      </c>
      <c r="S38" s="19">
        <f t="shared" si="6"/>
        <v>1303</v>
      </c>
      <c r="T38" s="19">
        <f t="shared" si="6"/>
        <v>1130</v>
      </c>
      <c r="U38" s="19">
        <f t="shared" si="6"/>
        <v>1138</v>
      </c>
      <c r="V38" s="19">
        <f t="shared" si="6"/>
        <v>795</v>
      </c>
      <c r="W38" s="19">
        <f t="shared" si="6"/>
        <v>763</v>
      </c>
      <c r="X38" s="19">
        <f t="shared" si="6"/>
        <v>663</v>
      </c>
      <c r="Y38" s="19">
        <f t="shared" si="6"/>
        <v>519</v>
      </c>
      <c r="Z38" s="19">
        <f t="shared" si="6"/>
        <v>532</v>
      </c>
      <c r="AA38" s="19">
        <f t="shared" si="6"/>
        <v>681</v>
      </c>
      <c r="AB38" s="19">
        <f t="shared" si="6"/>
        <v>930</v>
      </c>
      <c r="AC38" s="19">
        <f t="shared" si="6"/>
        <v>878</v>
      </c>
      <c r="AD38" s="19">
        <f t="shared" si="6"/>
        <v>891</v>
      </c>
      <c r="AE38" s="19">
        <f t="shared" si="5"/>
        <v>1666</v>
      </c>
      <c r="AF38" s="19">
        <f t="shared" si="5"/>
        <v>1344</v>
      </c>
      <c r="AG38" s="19">
        <f t="shared" si="2"/>
        <v>849</v>
      </c>
      <c r="AH38" s="19">
        <f t="shared" si="2"/>
        <v>706</v>
      </c>
      <c r="AI38" s="19">
        <f t="shared" si="3"/>
        <v>713</v>
      </c>
      <c r="AJ38" s="19">
        <f t="shared" si="3"/>
        <v>624</v>
      </c>
    </row>
    <row r="39" spans="2:36" ht="12.75">
      <c r="B39" s="18" t="s">
        <v>38</v>
      </c>
      <c r="C39" s="19" t="s">
        <v>113</v>
      </c>
      <c r="D39" s="19">
        <f t="shared" si="6"/>
        <v>1170</v>
      </c>
      <c r="E39" s="19">
        <f t="shared" si="6"/>
        <v>1031</v>
      </c>
      <c r="F39" s="19">
        <f t="shared" si="6"/>
        <v>1312</v>
      </c>
      <c r="G39" s="19">
        <f t="shared" si="6"/>
        <v>1576</v>
      </c>
      <c r="H39" s="19">
        <f t="shared" si="6"/>
        <v>2429</v>
      </c>
      <c r="I39" s="19">
        <f t="shared" si="6"/>
        <v>1648</v>
      </c>
      <c r="J39" s="19">
        <f t="shared" si="6"/>
        <v>1123</v>
      </c>
      <c r="K39" s="19">
        <f t="shared" si="6"/>
        <v>834</v>
      </c>
      <c r="L39" s="19">
        <f t="shared" si="6"/>
        <v>757</v>
      </c>
      <c r="M39" s="19">
        <f t="shared" si="6"/>
        <v>498</v>
      </c>
      <c r="N39" s="19">
        <f t="shared" si="6"/>
        <v>518</v>
      </c>
      <c r="O39" s="19">
        <f t="shared" si="6"/>
        <v>773</v>
      </c>
      <c r="P39" s="19">
        <f t="shared" si="6"/>
        <v>969</v>
      </c>
      <c r="Q39" s="19">
        <f t="shared" si="6"/>
        <v>821</v>
      </c>
      <c r="R39" s="19">
        <f t="shared" si="6"/>
        <v>1248</v>
      </c>
      <c r="S39" s="19">
        <f t="shared" si="6"/>
        <v>1239</v>
      </c>
      <c r="T39" s="19">
        <f t="shared" si="6"/>
        <v>1300</v>
      </c>
      <c r="U39" s="19">
        <f t="shared" si="6"/>
        <v>1185</v>
      </c>
      <c r="V39" s="19">
        <f t="shared" si="6"/>
        <v>910</v>
      </c>
      <c r="W39" s="19">
        <f t="shared" si="6"/>
        <v>678</v>
      </c>
      <c r="X39" s="19">
        <f t="shared" si="6"/>
        <v>613</v>
      </c>
      <c r="Y39" s="19">
        <f t="shared" si="6"/>
        <v>419</v>
      </c>
      <c r="Z39" s="19">
        <f t="shared" si="6"/>
        <v>441</v>
      </c>
      <c r="AA39" s="19">
        <f t="shared" si="6"/>
        <v>677</v>
      </c>
      <c r="AB39" s="19">
        <f t="shared" si="6"/>
        <v>1057</v>
      </c>
      <c r="AC39" s="19">
        <f t="shared" si="6"/>
        <v>814</v>
      </c>
      <c r="AD39" s="19">
        <f t="shared" si="6"/>
        <v>938</v>
      </c>
      <c r="AE39" s="19">
        <f t="shared" si="5"/>
        <v>1465</v>
      </c>
      <c r="AF39" s="19">
        <f t="shared" si="5"/>
        <v>1299</v>
      </c>
      <c r="AG39" s="19">
        <f t="shared" si="2"/>
        <v>745</v>
      </c>
      <c r="AH39" s="19">
        <f t="shared" si="2"/>
        <v>534</v>
      </c>
      <c r="AI39" s="19">
        <f t="shared" si="3"/>
        <v>603</v>
      </c>
      <c r="AJ39" s="19">
        <f t="shared" si="3"/>
        <v>550</v>
      </c>
    </row>
    <row r="40" spans="2:36" ht="12.75">
      <c r="B40" s="18" t="s">
        <v>39</v>
      </c>
      <c r="C40" s="19" t="s">
        <v>113</v>
      </c>
      <c r="D40" s="19">
        <f t="shared" si="6"/>
        <v>855</v>
      </c>
      <c r="E40" s="19">
        <f t="shared" si="6"/>
        <v>816</v>
      </c>
      <c r="F40" s="19">
        <f t="shared" si="6"/>
        <v>976</v>
      </c>
      <c r="G40" s="19">
        <f t="shared" si="6"/>
        <v>1091</v>
      </c>
      <c r="H40" s="19">
        <f t="shared" si="6"/>
        <v>1462</v>
      </c>
      <c r="I40" s="19">
        <f t="shared" si="6"/>
        <v>1046</v>
      </c>
      <c r="J40" s="19">
        <f t="shared" si="6"/>
        <v>911</v>
      </c>
      <c r="K40" s="19">
        <f t="shared" si="6"/>
        <v>619</v>
      </c>
      <c r="L40" s="19">
        <f t="shared" si="6"/>
        <v>680</v>
      </c>
      <c r="M40" s="19">
        <f t="shared" si="6"/>
        <v>523</v>
      </c>
      <c r="N40" s="19">
        <f t="shared" si="6"/>
        <v>344</v>
      </c>
      <c r="O40" s="19">
        <f t="shared" si="6"/>
        <v>605</v>
      </c>
      <c r="P40" s="19">
        <f t="shared" si="6"/>
        <v>889</v>
      </c>
      <c r="Q40" s="19">
        <f t="shared" si="6"/>
        <v>783</v>
      </c>
      <c r="R40" s="19">
        <f t="shared" si="6"/>
        <v>1250</v>
      </c>
      <c r="S40" s="19">
        <f t="shared" si="6"/>
        <v>877</v>
      </c>
      <c r="T40" s="19">
        <f t="shared" si="6"/>
        <v>1164</v>
      </c>
      <c r="U40" s="19">
        <f t="shared" si="6"/>
        <v>1010</v>
      </c>
      <c r="V40" s="19">
        <f t="shared" si="6"/>
        <v>832</v>
      </c>
      <c r="W40" s="19">
        <f t="shared" si="6"/>
        <v>605</v>
      </c>
      <c r="X40" s="19">
        <f t="shared" si="6"/>
        <v>580</v>
      </c>
      <c r="Y40" s="19">
        <f t="shared" si="6"/>
        <v>456</v>
      </c>
      <c r="Z40" s="19">
        <f t="shared" si="6"/>
        <v>386</v>
      </c>
      <c r="AA40" s="19">
        <f t="shared" si="6"/>
        <v>524</v>
      </c>
      <c r="AB40" s="19">
        <f t="shared" si="6"/>
        <v>880</v>
      </c>
      <c r="AC40" s="19">
        <f t="shared" si="6"/>
        <v>710</v>
      </c>
      <c r="AD40" s="19">
        <f t="shared" si="6"/>
        <v>898</v>
      </c>
      <c r="AE40" s="19">
        <f t="shared" si="5"/>
        <v>1187</v>
      </c>
      <c r="AF40" s="19">
        <f t="shared" si="5"/>
        <v>963</v>
      </c>
      <c r="AG40" s="19">
        <f t="shared" si="2"/>
        <v>584</v>
      </c>
      <c r="AH40" s="19">
        <f t="shared" si="2"/>
        <v>430</v>
      </c>
      <c r="AI40" s="19">
        <f t="shared" si="3"/>
        <v>563</v>
      </c>
      <c r="AJ40" s="19">
        <f t="shared" si="3"/>
        <v>523</v>
      </c>
    </row>
    <row r="41" spans="2:36" ht="25.5">
      <c r="B41" s="18" t="s">
        <v>40</v>
      </c>
      <c r="C41" s="19" t="s">
        <v>113</v>
      </c>
      <c r="D41" s="19">
        <f t="shared" si="6"/>
        <v>3797</v>
      </c>
      <c r="E41" s="19">
        <f t="shared" si="6"/>
        <v>3381</v>
      </c>
      <c r="F41" s="19">
        <f t="shared" si="6"/>
        <v>4546</v>
      </c>
      <c r="G41" s="19">
        <f t="shared" si="6"/>
        <v>4972</v>
      </c>
      <c r="H41" s="19">
        <f t="shared" si="6"/>
        <v>7228</v>
      </c>
      <c r="I41" s="19">
        <f t="shared" si="6"/>
        <v>5711</v>
      </c>
      <c r="J41" s="19">
        <f t="shared" si="6"/>
        <v>4168</v>
      </c>
      <c r="K41" s="19">
        <f t="shared" si="6"/>
        <v>3199</v>
      </c>
      <c r="L41" s="19">
        <f t="shared" si="6"/>
        <v>2786</v>
      </c>
      <c r="M41" s="19">
        <f t="shared" si="6"/>
        <v>1960</v>
      </c>
      <c r="N41" s="19">
        <f t="shared" si="6"/>
        <v>1702</v>
      </c>
      <c r="O41" s="19">
        <f t="shared" si="6"/>
        <v>3558</v>
      </c>
      <c r="P41" s="19">
        <f t="shared" si="6"/>
        <v>4921</v>
      </c>
      <c r="Q41" s="19">
        <f t="shared" si="6"/>
        <v>3995</v>
      </c>
      <c r="R41" s="19">
        <f t="shared" si="6"/>
        <v>5870</v>
      </c>
      <c r="S41" s="19">
        <f t="shared" si="6"/>
        <v>5456</v>
      </c>
      <c r="T41" s="19">
        <f t="shared" si="6"/>
        <v>5682</v>
      </c>
      <c r="U41" s="19">
        <f t="shared" si="6"/>
        <v>4776</v>
      </c>
      <c r="V41" s="19">
        <f t="shared" si="6"/>
        <v>4090</v>
      </c>
      <c r="W41" s="19">
        <f t="shared" si="6"/>
        <v>3366</v>
      </c>
      <c r="X41" s="19">
        <f t="shared" si="6"/>
        <v>3151</v>
      </c>
      <c r="Y41" s="19">
        <f t="shared" si="6"/>
        <v>2120</v>
      </c>
      <c r="Z41" s="19">
        <f t="shared" si="6"/>
        <v>2117</v>
      </c>
      <c r="AA41" s="19">
        <f t="shared" si="6"/>
        <v>3144</v>
      </c>
      <c r="AB41" s="19">
        <f t="shared" si="6"/>
        <v>5158</v>
      </c>
      <c r="AC41" s="19">
        <f t="shared" si="6"/>
        <v>4296</v>
      </c>
      <c r="AD41" s="19">
        <f t="shared" si="6"/>
        <v>4877</v>
      </c>
      <c r="AE41" s="19">
        <f t="shared" si="5"/>
        <v>6222</v>
      </c>
      <c r="AF41" s="19">
        <f t="shared" si="5"/>
        <v>5129</v>
      </c>
      <c r="AG41" s="19">
        <f t="shared" si="2"/>
        <v>2972</v>
      </c>
      <c r="AH41" s="19">
        <f t="shared" si="2"/>
        <v>2372</v>
      </c>
      <c r="AI41" s="19">
        <f t="shared" si="3"/>
        <v>2411</v>
      </c>
      <c r="AJ41" s="19">
        <f t="shared" si="3"/>
        <v>2212</v>
      </c>
    </row>
    <row r="42" spans="2:36" ht="12.75">
      <c r="B42" s="18" t="s">
        <v>41</v>
      </c>
      <c r="C42" s="19" t="s">
        <v>113</v>
      </c>
      <c r="D42" s="19">
        <f t="shared" si="6"/>
        <v>2103</v>
      </c>
      <c r="E42" s="19">
        <f t="shared" si="6"/>
        <v>1797</v>
      </c>
      <c r="F42" s="19">
        <f t="shared" si="6"/>
        <v>2229</v>
      </c>
      <c r="G42" s="19">
        <f t="shared" si="6"/>
        <v>2390</v>
      </c>
      <c r="H42" s="19">
        <f t="shared" si="6"/>
        <v>2912</v>
      </c>
      <c r="I42" s="19">
        <f t="shared" si="6"/>
        <v>2266</v>
      </c>
      <c r="J42" s="19">
        <f t="shared" si="6"/>
        <v>1779</v>
      </c>
      <c r="K42" s="19">
        <f t="shared" si="6"/>
        <v>1497</v>
      </c>
      <c r="L42" s="19">
        <f t="shared" si="6"/>
        <v>1495</v>
      </c>
      <c r="M42" s="19">
        <f t="shared" si="6"/>
        <v>1144</v>
      </c>
      <c r="N42" s="19">
        <f t="shared" si="6"/>
        <v>994</v>
      </c>
      <c r="O42" s="19">
        <f t="shared" si="6"/>
        <v>1550</v>
      </c>
      <c r="P42" s="19">
        <f t="shared" si="6"/>
        <v>1747</v>
      </c>
      <c r="Q42" s="19">
        <f t="shared" si="6"/>
        <v>1462</v>
      </c>
      <c r="R42" s="19">
        <f t="shared" si="6"/>
        <v>1884</v>
      </c>
      <c r="S42" s="19">
        <f t="shared" si="6"/>
        <v>1666</v>
      </c>
      <c r="T42" s="19">
        <f t="shared" si="6"/>
        <v>1827</v>
      </c>
      <c r="U42" s="19">
        <f t="shared" si="6"/>
        <v>1683</v>
      </c>
      <c r="V42" s="19">
        <f t="shared" si="6"/>
        <v>1433</v>
      </c>
      <c r="W42" s="19">
        <f t="shared" si="6"/>
        <v>1127</v>
      </c>
      <c r="X42" s="19">
        <f t="shared" si="6"/>
        <v>1155</v>
      </c>
      <c r="Y42" s="19">
        <f t="shared" si="6"/>
        <v>887</v>
      </c>
      <c r="Z42" s="19">
        <f t="shared" si="6"/>
        <v>926</v>
      </c>
      <c r="AA42" s="19">
        <f t="shared" si="6"/>
        <v>1198</v>
      </c>
      <c r="AB42" s="19">
        <f t="shared" si="6"/>
        <v>1622</v>
      </c>
      <c r="AC42" s="19">
        <f t="shared" si="6"/>
        <v>1424</v>
      </c>
      <c r="AD42" s="19">
        <f t="shared" si="6"/>
        <v>1576</v>
      </c>
      <c r="AE42" s="19">
        <f t="shared" si="5"/>
        <v>1760</v>
      </c>
      <c r="AF42" s="19">
        <f t="shared" si="5"/>
        <v>1479</v>
      </c>
      <c r="AG42" s="19">
        <f t="shared" si="2"/>
        <v>1020</v>
      </c>
      <c r="AH42" s="19">
        <f t="shared" si="2"/>
        <v>739</v>
      </c>
      <c r="AI42" s="19">
        <f t="shared" si="3"/>
        <v>854</v>
      </c>
      <c r="AJ42" s="19">
        <f t="shared" si="3"/>
        <v>847</v>
      </c>
    </row>
    <row r="43" spans="2:36" ht="12.75">
      <c r="B43" s="18" t="s">
        <v>42</v>
      </c>
      <c r="C43" s="19" t="s">
        <v>113</v>
      </c>
      <c r="D43" s="19">
        <f t="shared" si="6"/>
        <v>1825</v>
      </c>
      <c r="E43" s="19">
        <f t="shared" si="6"/>
        <v>1706</v>
      </c>
      <c r="F43" s="19">
        <f t="shared" si="6"/>
        <v>2086</v>
      </c>
      <c r="G43" s="19">
        <f t="shared" si="6"/>
        <v>2101</v>
      </c>
      <c r="H43" s="19">
        <f t="shared" si="6"/>
        <v>2782</v>
      </c>
      <c r="I43" s="19">
        <f t="shared" si="6"/>
        <v>2161</v>
      </c>
      <c r="J43" s="19">
        <f t="shared" si="6"/>
        <v>1440</v>
      </c>
      <c r="K43" s="19">
        <f t="shared" si="6"/>
        <v>1067</v>
      </c>
      <c r="L43" s="19">
        <f t="shared" si="6"/>
        <v>834</v>
      </c>
      <c r="M43" s="19">
        <f t="shared" si="6"/>
        <v>451</v>
      </c>
      <c r="N43" s="19">
        <f t="shared" si="6"/>
        <v>489</v>
      </c>
      <c r="O43" s="19">
        <f t="shared" si="6"/>
        <v>951</v>
      </c>
      <c r="P43" s="19">
        <f t="shared" si="6"/>
        <v>1532</v>
      </c>
      <c r="Q43" s="19">
        <f t="shared" si="6"/>
        <v>1176</v>
      </c>
      <c r="R43" s="19">
        <f t="shared" si="6"/>
        <v>1756</v>
      </c>
      <c r="S43" s="19">
        <f t="shared" si="6"/>
        <v>1724</v>
      </c>
      <c r="T43" s="19">
        <f t="shared" si="6"/>
        <v>1656</v>
      </c>
      <c r="U43" s="19">
        <f t="shared" si="6"/>
        <v>1572</v>
      </c>
      <c r="V43" s="19">
        <f t="shared" si="6"/>
        <v>1088</v>
      </c>
      <c r="W43" s="19">
        <f t="shared" si="6"/>
        <v>961</v>
      </c>
      <c r="X43" s="19">
        <f t="shared" si="6"/>
        <v>1067</v>
      </c>
      <c r="Y43" s="19">
        <f t="shared" si="6"/>
        <v>611</v>
      </c>
      <c r="Z43" s="19">
        <f t="shared" si="6"/>
        <v>560</v>
      </c>
      <c r="AA43" s="19">
        <f t="shared" si="6"/>
        <v>922</v>
      </c>
      <c r="AB43" s="19">
        <f t="shared" si="6"/>
        <v>1809</v>
      </c>
      <c r="AC43" s="19">
        <f t="shared" si="6"/>
        <v>1562</v>
      </c>
      <c r="AD43" s="19">
        <f t="shared" si="6"/>
        <v>1678</v>
      </c>
      <c r="AE43" s="19">
        <f t="shared" si="5"/>
        <v>2204</v>
      </c>
      <c r="AF43" s="19">
        <f t="shared" si="5"/>
        <v>1537</v>
      </c>
      <c r="AG43" s="19">
        <f t="shared" si="2"/>
        <v>912</v>
      </c>
      <c r="AH43" s="19">
        <f t="shared" si="2"/>
        <v>522</v>
      </c>
      <c r="AI43" s="19">
        <f t="shared" si="3"/>
        <v>301</v>
      </c>
      <c r="AJ43" s="19">
        <f t="shared" si="3"/>
        <v>274</v>
      </c>
    </row>
    <row r="44" spans="2:36" ht="12.75">
      <c r="B44" s="18" t="s">
        <v>43</v>
      </c>
      <c r="C44" s="19" t="s">
        <v>113</v>
      </c>
      <c r="D44" s="19">
        <f t="shared" si="6"/>
        <v>519</v>
      </c>
      <c r="E44" s="19">
        <f t="shared" si="6"/>
        <v>493</v>
      </c>
      <c r="F44" s="19">
        <f t="shared" si="6"/>
        <v>518</v>
      </c>
      <c r="G44" s="19">
        <f t="shared" si="6"/>
        <v>516</v>
      </c>
      <c r="H44" s="19">
        <f t="shared" si="6"/>
        <v>472</v>
      </c>
      <c r="I44" s="19">
        <f t="shared" si="6"/>
        <v>555</v>
      </c>
      <c r="J44" s="19">
        <f t="shared" si="6"/>
        <v>508</v>
      </c>
      <c r="K44" s="19">
        <f t="shared" si="6"/>
        <v>480</v>
      </c>
      <c r="L44" s="19">
        <f t="shared" si="6"/>
        <v>409</v>
      </c>
      <c r="M44" s="19">
        <f t="shared" si="6"/>
        <v>411</v>
      </c>
      <c r="N44" s="19">
        <f t="shared" si="6"/>
        <v>495</v>
      </c>
      <c r="O44" s="19">
        <f t="shared" si="6"/>
        <v>511</v>
      </c>
      <c r="P44" s="19">
        <f t="shared" si="6"/>
        <v>552</v>
      </c>
      <c r="Q44" s="19">
        <f t="shared" si="6"/>
        <v>538</v>
      </c>
      <c r="R44" s="19">
        <f t="shared" si="6"/>
        <v>537</v>
      </c>
      <c r="S44" s="19">
        <f t="shared" si="6"/>
        <v>624</v>
      </c>
      <c r="T44" s="19">
        <f t="shared" si="6"/>
        <v>509</v>
      </c>
      <c r="U44" s="19">
        <f t="shared" si="6"/>
        <v>599</v>
      </c>
      <c r="V44" s="19">
        <f t="shared" si="6"/>
        <v>434</v>
      </c>
      <c r="W44" s="19">
        <f t="shared" si="6"/>
        <v>544</v>
      </c>
      <c r="X44" s="19">
        <f t="shared" si="6"/>
        <v>471</v>
      </c>
      <c r="Y44" s="19">
        <f t="shared" si="6"/>
        <v>419</v>
      </c>
      <c r="Z44" s="19">
        <f t="shared" si="6"/>
        <v>491</v>
      </c>
      <c r="AA44" s="19">
        <f t="shared" si="6"/>
        <v>557</v>
      </c>
      <c r="AB44" s="19">
        <f t="shared" si="6"/>
        <v>592</v>
      </c>
      <c r="AC44" s="19">
        <f t="shared" si="6"/>
        <v>551</v>
      </c>
      <c r="AD44" s="19">
        <f t="shared" si="6"/>
        <v>505</v>
      </c>
      <c r="AE44" s="19">
        <f t="shared" si="5"/>
        <v>695</v>
      </c>
      <c r="AF44" s="19">
        <f t="shared" si="5"/>
        <v>554</v>
      </c>
      <c r="AG44" s="19">
        <f t="shared" si="2"/>
        <v>480</v>
      </c>
      <c r="AH44" s="19">
        <f t="shared" si="2"/>
        <v>444</v>
      </c>
      <c r="AI44" s="19">
        <f t="shared" si="3"/>
        <v>506</v>
      </c>
      <c r="AJ44" s="19">
        <f t="shared" si="3"/>
        <v>508</v>
      </c>
    </row>
    <row r="45" spans="2:36" ht="12.75">
      <c r="B45" s="18" t="s">
        <v>44</v>
      </c>
      <c r="C45" s="19" t="s">
        <v>113</v>
      </c>
      <c r="D45" s="19">
        <f t="shared" si="6"/>
        <v>622</v>
      </c>
      <c r="E45" s="19">
        <f t="shared" si="6"/>
        <v>572</v>
      </c>
      <c r="F45" s="19">
        <f t="shared" si="6"/>
        <v>722</v>
      </c>
      <c r="G45" s="19">
        <f t="shared" si="6"/>
        <v>916</v>
      </c>
      <c r="H45" s="19">
        <f t="shared" si="6"/>
        <v>1086</v>
      </c>
      <c r="I45" s="19">
        <f t="shared" si="6"/>
        <v>1056</v>
      </c>
      <c r="J45" s="19">
        <f t="shared" si="6"/>
        <v>690</v>
      </c>
      <c r="K45" s="19">
        <f t="shared" si="6"/>
        <v>574</v>
      </c>
      <c r="L45" s="19">
        <f t="shared" si="6"/>
        <v>430</v>
      </c>
      <c r="M45" s="19">
        <f t="shared" si="6"/>
        <v>262</v>
      </c>
      <c r="N45" s="19">
        <f t="shared" si="6"/>
        <v>258</v>
      </c>
      <c r="O45" s="19">
        <f t="shared" si="6"/>
        <v>471</v>
      </c>
      <c r="P45" s="19">
        <f t="shared" si="6"/>
        <v>555</v>
      </c>
      <c r="Q45" s="19">
        <f t="shared" si="6"/>
        <v>486</v>
      </c>
      <c r="R45" s="19">
        <f t="shared" si="6"/>
        <v>724</v>
      </c>
      <c r="S45" s="19">
        <f t="shared" si="6"/>
        <v>922</v>
      </c>
      <c r="T45" s="19">
        <f t="shared" si="6"/>
        <v>773</v>
      </c>
      <c r="U45" s="19">
        <f t="shared" si="6"/>
        <v>807</v>
      </c>
      <c r="V45" s="19">
        <f t="shared" si="6"/>
        <v>566</v>
      </c>
      <c r="W45" s="19">
        <f t="shared" si="6"/>
        <v>522</v>
      </c>
      <c r="X45" s="19">
        <f t="shared" si="6"/>
        <v>506</v>
      </c>
      <c r="Y45" s="19">
        <f t="shared" si="6"/>
        <v>283</v>
      </c>
      <c r="Z45" s="19">
        <f t="shared" si="6"/>
        <v>309</v>
      </c>
      <c r="AA45" s="19">
        <f t="shared" si="6"/>
        <v>460</v>
      </c>
      <c r="AB45" s="19">
        <f t="shared" si="6"/>
        <v>810</v>
      </c>
      <c r="AC45" s="19">
        <f t="shared" si="6"/>
        <v>784</v>
      </c>
      <c r="AD45" s="19">
        <f t="shared" si="6"/>
        <v>814</v>
      </c>
      <c r="AE45" s="19">
        <f t="shared" si="5"/>
        <v>1432</v>
      </c>
      <c r="AF45" s="19">
        <f t="shared" si="5"/>
        <v>1009</v>
      </c>
      <c r="AG45" s="19">
        <f t="shared" si="2"/>
        <v>766</v>
      </c>
      <c r="AH45" s="19">
        <f t="shared" si="2"/>
        <v>637</v>
      </c>
      <c r="AI45" s="19">
        <f t="shared" si="3"/>
        <v>608</v>
      </c>
      <c r="AJ45" s="19">
        <f t="shared" si="3"/>
        <v>484</v>
      </c>
    </row>
    <row r="46" spans="2:36" ht="12.75">
      <c r="B46" s="18" t="s">
        <v>45</v>
      </c>
      <c r="C46" s="19" t="s">
        <v>113</v>
      </c>
      <c r="D46" s="19">
        <f t="shared" si="6"/>
        <v>754</v>
      </c>
      <c r="E46" s="19">
        <f t="shared" si="6"/>
        <v>860</v>
      </c>
      <c r="F46" s="19">
        <f t="shared" si="6"/>
        <v>1045</v>
      </c>
      <c r="G46" s="19">
        <f t="shared" si="6"/>
        <v>1055</v>
      </c>
      <c r="H46" s="19">
        <f t="shared" si="6"/>
        <v>1307</v>
      </c>
      <c r="I46" s="19">
        <f t="shared" si="6"/>
        <v>1288</v>
      </c>
      <c r="J46" s="19">
        <f t="shared" si="6"/>
        <v>797</v>
      </c>
      <c r="K46" s="19">
        <f t="shared" si="6"/>
        <v>678</v>
      </c>
      <c r="L46" s="19">
        <f t="shared" si="6"/>
        <v>445</v>
      </c>
      <c r="M46" s="19">
        <f t="shared" si="6"/>
        <v>275</v>
      </c>
      <c r="N46" s="19">
        <f t="shared" si="6"/>
        <v>246</v>
      </c>
      <c r="O46" s="19">
        <f t="shared" si="6"/>
        <v>483</v>
      </c>
      <c r="P46" s="19">
        <f aca="true" t="shared" si="7" ref="P46:AD46">IF(ISERROR(P21),0,P21)</f>
        <v>777</v>
      </c>
      <c r="Q46" s="19">
        <f t="shared" si="7"/>
        <v>625</v>
      </c>
      <c r="R46" s="19">
        <f t="shared" si="7"/>
        <v>841</v>
      </c>
      <c r="S46" s="19">
        <f t="shared" si="7"/>
        <v>925</v>
      </c>
      <c r="T46" s="19">
        <f t="shared" si="7"/>
        <v>1002</v>
      </c>
      <c r="U46" s="19">
        <f t="shared" si="7"/>
        <v>892</v>
      </c>
      <c r="V46" s="19">
        <f t="shared" si="7"/>
        <v>632</v>
      </c>
      <c r="W46" s="19">
        <f t="shared" si="7"/>
        <v>499</v>
      </c>
      <c r="X46" s="19">
        <f t="shared" si="7"/>
        <v>440</v>
      </c>
      <c r="Y46" s="19">
        <f t="shared" si="7"/>
        <v>239</v>
      </c>
      <c r="Z46" s="19">
        <f t="shared" si="7"/>
        <v>287</v>
      </c>
      <c r="AA46" s="19">
        <f t="shared" si="7"/>
        <v>520</v>
      </c>
      <c r="AB46" s="19">
        <f t="shared" si="7"/>
        <v>876</v>
      </c>
      <c r="AC46" s="19">
        <f t="shared" si="7"/>
        <v>797</v>
      </c>
      <c r="AD46" s="19">
        <f t="shared" si="7"/>
        <v>883</v>
      </c>
      <c r="AE46" s="19">
        <f aca="true" t="shared" si="8" ref="AE46:AF48">IF(ISERROR(AE21),0,AE21)</f>
        <v>1404</v>
      </c>
      <c r="AF46" s="19">
        <f t="shared" si="8"/>
        <v>1181</v>
      </c>
      <c r="AG46" s="19">
        <f t="shared" si="2"/>
        <v>765</v>
      </c>
      <c r="AH46" s="19">
        <f t="shared" si="2"/>
        <v>636</v>
      </c>
      <c r="AI46" s="19">
        <f t="shared" si="3"/>
        <v>511</v>
      </c>
      <c r="AJ46" s="19">
        <f t="shared" si="3"/>
        <v>483</v>
      </c>
    </row>
    <row r="47" spans="2:36" ht="12.75">
      <c r="B47" s="18" t="s">
        <v>46</v>
      </c>
      <c r="C47" s="19" t="s">
        <v>113</v>
      </c>
      <c r="D47" s="19">
        <f aca="true" t="shared" si="9" ref="D47:AD48">IF(ISERROR(D22),0,D22)</f>
        <v>1547</v>
      </c>
      <c r="E47" s="19">
        <f t="shared" si="9"/>
        <v>1438</v>
      </c>
      <c r="F47" s="19">
        <f t="shared" si="9"/>
        <v>1683</v>
      </c>
      <c r="G47" s="19">
        <f t="shared" si="9"/>
        <v>1777</v>
      </c>
      <c r="H47" s="19">
        <f t="shared" si="9"/>
        <v>1980</v>
      </c>
      <c r="I47" s="19">
        <f t="shared" si="9"/>
        <v>1875</v>
      </c>
      <c r="J47" s="19">
        <f t="shared" si="9"/>
        <v>1563</v>
      </c>
      <c r="K47" s="19">
        <f t="shared" si="9"/>
        <v>1380</v>
      </c>
      <c r="L47" s="19">
        <f t="shared" si="9"/>
        <v>1292</v>
      </c>
      <c r="M47" s="19">
        <f t="shared" si="9"/>
        <v>1228</v>
      </c>
      <c r="N47" s="19">
        <f t="shared" si="9"/>
        <v>1182</v>
      </c>
      <c r="O47" s="19">
        <f t="shared" si="9"/>
        <v>1472</v>
      </c>
      <c r="P47" s="19">
        <f t="shared" si="9"/>
        <v>1632</v>
      </c>
      <c r="Q47" s="19">
        <f t="shared" si="9"/>
        <v>1399</v>
      </c>
      <c r="R47" s="19">
        <f t="shared" si="9"/>
        <v>1863</v>
      </c>
      <c r="S47" s="19">
        <f t="shared" si="9"/>
        <v>1827</v>
      </c>
      <c r="T47" s="19">
        <f t="shared" si="9"/>
        <v>1789</v>
      </c>
      <c r="U47" s="19">
        <f t="shared" si="9"/>
        <v>1676</v>
      </c>
      <c r="V47" s="19">
        <f t="shared" si="9"/>
        <v>1275</v>
      </c>
      <c r="W47" s="19">
        <f t="shared" si="9"/>
        <v>1405</v>
      </c>
      <c r="X47" s="19">
        <f t="shared" si="9"/>
        <v>1393</v>
      </c>
      <c r="Y47" s="19">
        <f t="shared" si="9"/>
        <v>1303</v>
      </c>
      <c r="Z47" s="19">
        <f t="shared" si="9"/>
        <v>1332</v>
      </c>
      <c r="AA47" s="19">
        <f t="shared" si="9"/>
        <v>1496</v>
      </c>
      <c r="AB47" s="19">
        <f t="shared" si="9"/>
        <v>1835</v>
      </c>
      <c r="AC47" s="19">
        <f t="shared" si="9"/>
        <v>1651</v>
      </c>
      <c r="AD47" s="19">
        <f t="shared" si="9"/>
        <v>1581</v>
      </c>
      <c r="AE47" s="19">
        <f t="shared" si="8"/>
        <v>2233</v>
      </c>
      <c r="AF47" s="19">
        <f t="shared" si="8"/>
        <v>1869</v>
      </c>
      <c r="AG47" s="19">
        <f t="shared" si="2"/>
        <v>1569</v>
      </c>
      <c r="AH47" s="19">
        <f t="shared" si="2"/>
        <v>1329</v>
      </c>
      <c r="AI47" s="19">
        <f t="shared" si="3"/>
        <v>1391</v>
      </c>
      <c r="AJ47" s="19">
        <f t="shared" si="3"/>
        <v>1386</v>
      </c>
    </row>
    <row r="48" spans="2:36" ht="13.5" thickBot="1">
      <c r="B48" s="20" t="s">
        <v>47</v>
      </c>
      <c r="C48" s="21" t="s">
        <v>113</v>
      </c>
      <c r="D48" s="21">
        <f t="shared" si="9"/>
        <v>802</v>
      </c>
      <c r="E48" s="21">
        <f t="shared" si="9"/>
        <v>699</v>
      </c>
      <c r="F48" s="21">
        <f t="shared" si="9"/>
        <v>580</v>
      </c>
      <c r="G48" s="21">
        <f t="shared" si="9"/>
        <v>639</v>
      </c>
      <c r="H48" s="21">
        <f t="shared" si="9"/>
        <v>487</v>
      </c>
      <c r="I48" s="21">
        <f t="shared" si="9"/>
        <v>638</v>
      </c>
      <c r="J48" s="21">
        <f t="shared" si="9"/>
        <v>616</v>
      </c>
      <c r="K48" s="21">
        <f t="shared" si="9"/>
        <v>646</v>
      </c>
      <c r="L48" s="21">
        <f t="shared" si="9"/>
        <v>735</v>
      </c>
      <c r="M48" s="21">
        <f t="shared" si="9"/>
        <v>787</v>
      </c>
      <c r="N48" s="21">
        <f t="shared" si="9"/>
        <v>693</v>
      </c>
      <c r="O48" s="21">
        <f t="shared" si="9"/>
        <v>804</v>
      </c>
      <c r="P48" s="21">
        <f t="shared" si="9"/>
        <v>618</v>
      </c>
      <c r="Q48" s="21">
        <f t="shared" si="9"/>
        <v>593</v>
      </c>
      <c r="R48" s="21">
        <f t="shared" si="9"/>
        <v>538</v>
      </c>
      <c r="S48" s="21">
        <f t="shared" si="9"/>
        <v>496</v>
      </c>
      <c r="T48" s="21">
        <f t="shared" si="9"/>
        <v>518</v>
      </c>
      <c r="U48" s="21">
        <f t="shared" si="9"/>
        <v>640</v>
      </c>
      <c r="V48" s="21">
        <f t="shared" si="9"/>
        <v>562</v>
      </c>
      <c r="W48" s="21">
        <f t="shared" si="9"/>
        <v>611</v>
      </c>
      <c r="X48" s="21">
        <f t="shared" si="9"/>
        <v>721</v>
      </c>
      <c r="Y48" s="21">
        <f t="shared" si="9"/>
        <v>859</v>
      </c>
      <c r="Z48" s="21">
        <f t="shared" si="9"/>
        <v>837</v>
      </c>
      <c r="AA48" s="21">
        <f t="shared" si="9"/>
        <v>786</v>
      </c>
      <c r="AB48" s="21">
        <f t="shared" si="9"/>
        <v>744</v>
      </c>
      <c r="AC48" s="21">
        <f t="shared" si="9"/>
        <v>649</v>
      </c>
      <c r="AD48" s="21">
        <f t="shared" si="9"/>
        <v>520</v>
      </c>
      <c r="AE48" s="21">
        <f t="shared" si="8"/>
        <v>550</v>
      </c>
      <c r="AF48" s="21">
        <f t="shared" si="8"/>
        <v>459</v>
      </c>
      <c r="AG48" s="21">
        <f t="shared" si="2"/>
        <v>536</v>
      </c>
      <c r="AH48" s="21">
        <f t="shared" si="2"/>
        <v>530</v>
      </c>
      <c r="AI48" s="21">
        <f t="shared" si="3"/>
        <v>526</v>
      </c>
      <c r="AJ48" s="21">
        <f t="shared" si="3"/>
        <v>661</v>
      </c>
    </row>
    <row r="49" spans="2:36" ht="13.5" thickTop="1">
      <c r="B49" s="22" t="s">
        <v>64</v>
      </c>
      <c r="C49" s="23" t="s">
        <v>113</v>
      </c>
      <c r="D49" s="24">
        <f aca="true" t="shared" si="10" ref="D49:AJ49">SUM(D27:D48)</f>
        <v>40139</v>
      </c>
      <c r="E49" s="24">
        <f t="shared" si="10"/>
        <v>36066</v>
      </c>
      <c r="F49" s="24">
        <f t="shared" si="10"/>
        <v>44667</v>
      </c>
      <c r="G49" s="24">
        <f t="shared" si="10"/>
        <v>49885</v>
      </c>
      <c r="H49" s="24">
        <f t="shared" si="10"/>
        <v>64782</v>
      </c>
      <c r="I49" s="24">
        <f t="shared" si="10"/>
        <v>53118</v>
      </c>
      <c r="J49" s="24">
        <f t="shared" si="10"/>
        <v>41482</v>
      </c>
      <c r="K49" s="24">
        <f t="shared" si="10"/>
        <v>32096</v>
      </c>
      <c r="L49" s="24">
        <f t="shared" si="10"/>
        <v>30254</v>
      </c>
      <c r="M49" s="24">
        <f t="shared" si="10"/>
        <v>23146</v>
      </c>
      <c r="N49" s="24">
        <f t="shared" si="10"/>
        <v>20422</v>
      </c>
      <c r="O49" s="24">
        <f t="shared" si="10"/>
        <v>32125</v>
      </c>
      <c r="P49" s="24">
        <f t="shared" si="10"/>
        <v>39490</v>
      </c>
      <c r="Q49" s="24">
        <f t="shared" si="10"/>
        <v>35277</v>
      </c>
      <c r="R49" s="24">
        <f t="shared" si="10"/>
        <v>50898</v>
      </c>
      <c r="S49" s="24">
        <f t="shared" si="10"/>
        <v>46760</v>
      </c>
      <c r="T49" s="24">
        <f t="shared" si="10"/>
        <v>51355</v>
      </c>
      <c r="U49" s="24">
        <f t="shared" si="10"/>
        <v>45606</v>
      </c>
      <c r="V49" s="24">
        <f t="shared" si="10"/>
        <v>37273</v>
      </c>
      <c r="W49" s="24">
        <f t="shared" si="10"/>
        <v>31573</v>
      </c>
      <c r="X49" s="24">
        <f t="shared" si="10"/>
        <v>31157</v>
      </c>
      <c r="Y49" s="24">
        <f t="shared" si="10"/>
        <v>24813</v>
      </c>
      <c r="Z49" s="24">
        <f t="shared" si="10"/>
        <v>24280</v>
      </c>
      <c r="AA49" s="24">
        <f t="shared" si="10"/>
        <v>30925</v>
      </c>
      <c r="AB49" s="24">
        <f t="shared" si="10"/>
        <v>45007</v>
      </c>
      <c r="AC49" s="24">
        <f t="shared" si="10"/>
        <v>39111</v>
      </c>
      <c r="AD49" s="24">
        <f t="shared" si="10"/>
        <v>44956</v>
      </c>
      <c r="AE49" s="24">
        <f t="shared" si="10"/>
        <v>62941</v>
      </c>
      <c r="AF49" s="24">
        <f t="shared" si="10"/>
        <v>55990</v>
      </c>
      <c r="AG49" s="24">
        <f t="shared" si="10"/>
        <v>38771</v>
      </c>
      <c r="AH49" s="24">
        <f t="shared" si="10"/>
        <v>30965</v>
      </c>
      <c r="AI49" s="24">
        <f t="shared" si="10"/>
        <v>33048</v>
      </c>
      <c r="AJ49" s="24">
        <f t="shared" si="10"/>
        <v>30646</v>
      </c>
    </row>
    <row r="50" spans="2:36" ht="12.75">
      <c r="B50" s="25" t="s">
        <v>65</v>
      </c>
      <c r="C50" s="19" t="s">
        <v>113</v>
      </c>
      <c r="D50" s="26">
        <f aca="true" t="shared" si="11" ref="D50:AD50">SUM(D27:D30)</f>
        <v>11281</v>
      </c>
      <c r="E50" s="26">
        <f t="shared" si="11"/>
        <v>10261</v>
      </c>
      <c r="F50" s="26">
        <f t="shared" si="11"/>
        <v>12387</v>
      </c>
      <c r="G50" s="26">
        <f t="shared" si="11"/>
        <v>13697</v>
      </c>
      <c r="H50" s="26">
        <f t="shared" si="11"/>
        <v>17690</v>
      </c>
      <c r="I50" s="26">
        <f t="shared" si="11"/>
        <v>14736</v>
      </c>
      <c r="J50" s="26">
        <f t="shared" si="11"/>
        <v>11963</v>
      </c>
      <c r="K50" s="26">
        <f t="shared" si="11"/>
        <v>9642</v>
      </c>
      <c r="L50" s="26">
        <f t="shared" si="11"/>
        <v>9782</v>
      </c>
      <c r="M50" s="26">
        <f t="shared" si="11"/>
        <v>8102</v>
      </c>
      <c r="N50" s="26">
        <f t="shared" si="11"/>
        <v>7259</v>
      </c>
      <c r="O50" s="26">
        <f t="shared" si="11"/>
        <v>10355</v>
      </c>
      <c r="P50" s="26">
        <f t="shared" si="11"/>
        <v>12060</v>
      </c>
      <c r="Q50" s="26">
        <f t="shared" si="11"/>
        <v>12007</v>
      </c>
      <c r="R50" s="26">
        <f t="shared" si="11"/>
        <v>16856</v>
      </c>
      <c r="S50" s="26">
        <f t="shared" si="11"/>
        <v>14773</v>
      </c>
      <c r="T50" s="26">
        <f t="shared" si="11"/>
        <v>16497</v>
      </c>
      <c r="U50" s="26">
        <f t="shared" si="11"/>
        <v>14742</v>
      </c>
      <c r="V50" s="26">
        <f t="shared" si="11"/>
        <v>12663</v>
      </c>
      <c r="W50" s="26">
        <f t="shared" si="11"/>
        <v>10912</v>
      </c>
      <c r="X50" s="26">
        <f t="shared" si="11"/>
        <v>10978</v>
      </c>
      <c r="Y50" s="26">
        <f t="shared" si="11"/>
        <v>9155</v>
      </c>
      <c r="Z50" s="26">
        <f t="shared" si="11"/>
        <v>8874</v>
      </c>
      <c r="AA50" s="26">
        <f t="shared" si="11"/>
        <v>10767</v>
      </c>
      <c r="AB50" s="26">
        <f t="shared" si="11"/>
        <v>14741</v>
      </c>
      <c r="AC50" s="26">
        <f t="shared" si="11"/>
        <v>12773</v>
      </c>
      <c r="AD50" s="26">
        <f t="shared" si="11"/>
        <v>14813</v>
      </c>
      <c r="AE50" s="26">
        <f aca="true" t="shared" si="12" ref="AE50:AJ50">SUM(AE27:AE30)</f>
        <v>22971</v>
      </c>
      <c r="AF50" s="26">
        <f t="shared" si="12"/>
        <v>23093</v>
      </c>
      <c r="AG50" s="26">
        <f t="shared" si="12"/>
        <v>17014</v>
      </c>
      <c r="AH50" s="26">
        <f t="shared" si="12"/>
        <v>14077</v>
      </c>
      <c r="AI50" s="26">
        <f t="shared" si="12"/>
        <v>15589</v>
      </c>
      <c r="AJ50" s="26">
        <f t="shared" si="12"/>
        <v>14275</v>
      </c>
    </row>
    <row r="51" spans="2:36" ht="12.75">
      <c r="B51" s="25" t="s">
        <v>66</v>
      </c>
      <c r="C51" s="19" t="s">
        <v>113</v>
      </c>
      <c r="D51" s="26">
        <f aca="true" t="shared" si="13" ref="D51:AD51">SUM(D31:D48)</f>
        <v>28858</v>
      </c>
      <c r="E51" s="26">
        <f t="shared" si="13"/>
        <v>25805</v>
      </c>
      <c r="F51" s="26">
        <f t="shared" si="13"/>
        <v>32280</v>
      </c>
      <c r="G51" s="26">
        <f t="shared" si="13"/>
        <v>36188</v>
      </c>
      <c r="H51" s="26">
        <f t="shared" si="13"/>
        <v>47092</v>
      </c>
      <c r="I51" s="26">
        <f t="shared" si="13"/>
        <v>38382</v>
      </c>
      <c r="J51" s="26">
        <f t="shared" si="13"/>
        <v>29519</v>
      </c>
      <c r="K51" s="26">
        <f t="shared" si="13"/>
        <v>22454</v>
      </c>
      <c r="L51" s="26">
        <f t="shared" si="13"/>
        <v>20472</v>
      </c>
      <c r="M51" s="26">
        <f t="shared" si="13"/>
        <v>15044</v>
      </c>
      <c r="N51" s="26">
        <f t="shared" si="13"/>
        <v>13163</v>
      </c>
      <c r="O51" s="26">
        <f t="shared" si="13"/>
        <v>21770</v>
      </c>
      <c r="P51" s="26">
        <f t="shared" si="13"/>
        <v>27430</v>
      </c>
      <c r="Q51" s="26">
        <f t="shared" si="13"/>
        <v>23270</v>
      </c>
      <c r="R51" s="26">
        <f t="shared" si="13"/>
        <v>34042</v>
      </c>
      <c r="S51" s="26">
        <f t="shared" si="13"/>
        <v>31987</v>
      </c>
      <c r="T51" s="26">
        <f t="shared" si="13"/>
        <v>34858</v>
      </c>
      <c r="U51" s="26">
        <f t="shared" si="13"/>
        <v>30864</v>
      </c>
      <c r="V51" s="26">
        <f t="shared" si="13"/>
        <v>24610</v>
      </c>
      <c r="W51" s="26">
        <f t="shared" si="13"/>
        <v>20661</v>
      </c>
      <c r="X51" s="26">
        <f t="shared" si="13"/>
        <v>20179</v>
      </c>
      <c r="Y51" s="26">
        <f t="shared" si="13"/>
        <v>15658</v>
      </c>
      <c r="Z51" s="26">
        <f t="shared" si="13"/>
        <v>15406</v>
      </c>
      <c r="AA51" s="26">
        <f t="shared" si="13"/>
        <v>20158</v>
      </c>
      <c r="AB51" s="26">
        <f t="shared" si="13"/>
        <v>30266</v>
      </c>
      <c r="AC51" s="26">
        <f t="shared" si="13"/>
        <v>26338</v>
      </c>
      <c r="AD51" s="26">
        <f t="shared" si="13"/>
        <v>30143</v>
      </c>
      <c r="AE51" s="26">
        <f aca="true" t="shared" si="14" ref="AE51:AJ51">SUM(AE31:AE48)</f>
        <v>39970</v>
      </c>
      <c r="AF51" s="26">
        <f t="shared" si="14"/>
        <v>32897</v>
      </c>
      <c r="AG51" s="26">
        <f t="shared" si="14"/>
        <v>21757</v>
      </c>
      <c r="AH51" s="26">
        <f t="shared" si="14"/>
        <v>16888</v>
      </c>
      <c r="AI51" s="26">
        <f t="shared" si="14"/>
        <v>17459</v>
      </c>
      <c r="AJ51" s="26">
        <f t="shared" si="14"/>
        <v>16371</v>
      </c>
    </row>
    <row r="52" spans="3:34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4" spans="2:36" ht="12.75">
      <c r="B54" s="17" t="s">
        <v>49</v>
      </c>
      <c r="C54" s="12" t="s">
        <v>50</v>
      </c>
      <c r="D54" s="12" t="s">
        <v>51</v>
      </c>
      <c r="E54" s="12" t="s">
        <v>52</v>
      </c>
      <c r="F54" s="12" t="s">
        <v>53</v>
      </c>
      <c r="G54" s="12" t="s">
        <v>54</v>
      </c>
      <c r="H54" s="12" t="s">
        <v>55</v>
      </c>
      <c r="I54" s="12" t="s">
        <v>56</v>
      </c>
      <c r="J54" s="12" t="s">
        <v>57</v>
      </c>
      <c r="K54" s="12" t="s">
        <v>58</v>
      </c>
      <c r="L54" s="12" t="s">
        <v>59</v>
      </c>
      <c r="M54" s="12" t="s">
        <v>60</v>
      </c>
      <c r="N54" s="12" t="s">
        <v>61</v>
      </c>
      <c r="O54" s="12" t="s">
        <v>62</v>
      </c>
      <c r="P54" s="12" t="s">
        <v>63</v>
      </c>
      <c r="Q54" s="13">
        <v>38657</v>
      </c>
      <c r="R54" s="13">
        <v>38687</v>
      </c>
      <c r="S54" s="13">
        <v>38718</v>
      </c>
      <c r="T54" s="13">
        <v>38749</v>
      </c>
      <c r="U54" s="13">
        <v>38777</v>
      </c>
      <c r="V54" s="13">
        <v>38808</v>
      </c>
      <c r="W54" s="13">
        <v>38838</v>
      </c>
      <c r="X54" s="13">
        <v>38869</v>
      </c>
      <c r="Y54" s="13">
        <v>38899</v>
      </c>
      <c r="Z54" s="13">
        <v>38930</v>
      </c>
      <c r="AA54" s="13">
        <v>38961</v>
      </c>
      <c r="AB54" s="13">
        <v>38991</v>
      </c>
      <c r="AC54" s="13">
        <v>39022</v>
      </c>
      <c r="AD54" s="13">
        <v>39052</v>
      </c>
      <c r="AE54" s="13">
        <v>39083</v>
      </c>
      <c r="AF54" s="13">
        <v>39114</v>
      </c>
      <c r="AG54" s="13">
        <v>39142</v>
      </c>
      <c r="AH54" s="13">
        <v>39173</v>
      </c>
      <c r="AI54" s="13">
        <v>39203</v>
      </c>
      <c r="AJ54" s="13">
        <v>39234</v>
      </c>
    </row>
    <row r="55" spans="1:36" ht="12.75">
      <c r="A55" t="s">
        <v>67</v>
      </c>
      <c r="B55" s="18" t="s">
        <v>26</v>
      </c>
      <c r="C55" s="19" t="s">
        <v>113</v>
      </c>
      <c r="D55" s="27">
        <f aca="true" t="shared" si="15" ref="D55:AD64">D27/D$49</f>
        <v>0.14509579212237475</v>
      </c>
      <c r="E55" s="27">
        <f t="shared" si="15"/>
        <v>0.14803415959629568</v>
      </c>
      <c r="F55" s="27">
        <f t="shared" si="15"/>
        <v>0.14422280430743054</v>
      </c>
      <c r="G55" s="27">
        <f t="shared" si="15"/>
        <v>0.14409141024356018</v>
      </c>
      <c r="H55" s="27">
        <f t="shared" si="15"/>
        <v>0.14939335000463091</v>
      </c>
      <c r="I55" s="27">
        <f t="shared" si="15"/>
        <v>0.13938777815429798</v>
      </c>
      <c r="J55" s="27">
        <f t="shared" si="15"/>
        <v>0.13699918036738826</v>
      </c>
      <c r="K55" s="27">
        <f t="shared" si="15"/>
        <v>0.14384970089730809</v>
      </c>
      <c r="L55" s="27">
        <f t="shared" si="15"/>
        <v>0.15749983473259735</v>
      </c>
      <c r="M55" s="27">
        <f t="shared" si="15"/>
        <v>0.1619718309859155</v>
      </c>
      <c r="N55" s="27">
        <f t="shared" si="15"/>
        <v>0.15875036725100383</v>
      </c>
      <c r="O55" s="27">
        <f t="shared" si="15"/>
        <v>0.16186770428015565</v>
      </c>
      <c r="P55" s="27">
        <f t="shared" si="15"/>
        <v>0.1599898708533806</v>
      </c>
      <c r="Q55" s="27">
        <f t="shared" si="15"/>
        <v>0.18343396547325452</v>
      </c>
      <c r="R55" s="27">
        <f t="shared" si="15"/>
        <v>0.17764941648001886</v>
      </c>
      <c r="S55" s="27">
        <f t="shared" si="15"/>
        <v>0.16313088109495294</v>
      </c>
      <c r="T55" s="27">
        <f t="shared" si="15"/>
        <v>0.16915587576672184</v>
      </c>
      <c r="U55" s="27">
        <f t="shared" si="15"/>
        <v>0.169495241854142</v>
      </c>
      <c r="V55" s="27">
        <f t="shared" si="15"/>
        <v>0.17868161940278485</v>
      </c>
      <c r="W55" s="27">
        <f t="shared" si="15"/>
        <v>0.1746112184461407</v>
      </c>
      <c r="X55" s="27">
        <f t="shared" si="15"/>
        <v>0.18053727894213178</v>
      </c>
      <c r="Y55" s="27">
        <f t="shared" si="15"/>
        <v>0.1766815782049732</v>
      </c>
      <c r="Z55" s="27">
        <f t="shared" si="15"/>
        <v>0.16182042833607907</v>
      </c>
      <c r="AA55" s="27">
        <f t="shared" si="15"/>
        <v>0.18127728375101052</v>
      </c>
      <c r="AB55" s="27">
        <f t="shared" si="15"/>
        <v>0.17297309307441064</v>
      </c>
      <c r="AC55" s="27">
        <f t="shared" si="15"/>
        <v>0.17074480325228197</v>
      </c>
      <c r="AD55" s="27">
        <f t="shared" si="15"/>
        <v>0.17512679063973663</v>
      </c>
      <c r="AE55" s="27">
        <f aca="true" t="shared" si="16" ref="AE55:AF63">AE27/AE$49</f>
        <v>0.19535755707726282</v>
      </c>
      <c r="AF55" s="27">
        <f t="shared" si="16"/>
        <v>0.23348812287908555</v>
      </c>
      <c r="AG55" s="27">
        <f aca="true" t="shared" si="17" ref="AG55:AH79">AG27/AG$49</f>
        <v>0.24626653942379614</v>
      </c>
      <c r="AH55" s="27">
        <f t="shared" si="17"/>
        <v>0.25183271435491683</v>
      </c>
      <c r="AI55" s="27">
        <f aca="true" t="shared" si="18" ref="AI55:AJ79">AI27/AI$49</f>
        <v>0.26522028564512223</v>
      </c>
      <c r="AJ55" s="27">
        <f t="shared" si="18"/>
        <v>0.2675063629837499</v>
      </c>
    </row>
    <row r="56" spans="2:36" ht="12.75">
      <c r="B56" s="18" t="s">
        <v>27</v>
      </c>
      <c r="C56" s="19" t="s">
        <v>113</v>
      </c>
      <c r="D56" s="27">
        <f t="shared" si="15"/>
        <v>0.11823911906126211</v>
      </c>
      <c r="E56" s="27">
        <f t="shared" si="15"/>
        <v>0.11922586369433816</v>
      </c>
      <c r="F56" s="27">
        <f t="shared" si="15"/>
        <v>0.11955134663174155</v>
      </c>
      <c r="G56" s="27">
        <f t="shared" si="15"/>
        <v>0.11979552971835221</v>
      </c>
      <c r="H56" s="27">
        <f t="shared" si="15"/>
        <v>0.11671451946528356</v>
      </c>
      <c r="I56" s="27">
        <f t="shared" si="15"/>
        <v>0.1266425693738469</v>
      </c>
      <c r="J56" s="27">
        <f t="shared" si="15"/>
        <v>0.13634829564630443</v>
      </c>
      <c r="K56" s="27">
        <f t="shared" si="15"/>
        <v>0.1363721335992024</v>
      </c>
      <c r="L56" s="27">
        <f t="shared" si="15"/>
        <v>0.13968400872611886</v>
      </c>
      <c r="M56" s="27">
        <f t="shared" si="15"/>
        <v>0.15022034044759353</v>
      </c>
      <c r="N56" s="27">
        <f t="shared" si="15"/>
        <v>0.15733033003623542</v>
      </c>
      <c r="O56" s="27">
        <f t="shared" si="15"/>
        <v>0.13357198443579765</v>
      </c>
      <c r="P56" s="27">
        <f t="shared" si="15"/>
        <v>0.12775386173714864</v>
      </c>
      <c r="Q56" s="27">
        <f t="shared" si="15"/>
        <v>0.1363494628228024</v>
      </c>
      <c r="R56" s="27">
        <f t="shared" si="15"/>
        <v>0.13929820425164052</v>
      </c>
      <c r="S56" s="27">
        <f t="shared" si="15"/>
        <v>0.13999144568006844</v>
      </c>
      <c r="T56" s="27">
        <f t="shared" si="15"/>
        <v>0.14053159380780839</v>
      </c>
      <c r="U56" s="27">
        <f t="shared" si="15"/>
        <v>0.13713107924395912</v>
      </c>
      <c r="V56" s="27">
        <f t="shared" si="15"/>
        <v>0.14444772355324229</v>
      </c>
      <c r="W56" s="27">
        <f t="shared" si="15"/>
        <v>0.1475944636239825</v>
      </c>
      <c r="X56" s="27">
        <f t="shared" si="15"/>
        <v>0.14382000834483422</v>
      </c>
      <c r="Y56" s="27">
        <f t="shared" si="15"/>
        <v>0.15379035183170112</v>
      </c>
      <c r="Z56" s="27">
        <f t="shared" si="15"/>
        <v>0.16639209225700163</v>
      </c>
      <c r="AA56" s="27">
        <f t="shared" si="15"/>
        <v>0.13972514147130152</v>
      </c>
      <c r="AB56" s="27">
        <f t="shared" si="15"/>
        <v>0.13622325416046394</v>
      </c>
      <c r="AC56" s="27">
        <f t="shared" si="15"/>
        <v>0.13863107565646493</v>
      </c>
      <c r="AD56" s="27">
        <f t="shared" si="15"/>
        <v>0.14040395052940652</v>
      </c>
      <c r="AE56" s="27">
        <f t="shared" si="16"/>
        <v>0.15937147487329403</v>
      </c>
      <c r="AF56" s="27">
        <f t="shared" si="16"/>
        <v>0.16985175924272192</v>
      </c>
      <c r="AG56" s="27">
        <f t="shared" si="17"/>
        <v>0.17531144412060562</v>
      </c>
      <c r="AH56" s="27">
        <f t="shared" si="17"/>
        <v>0.18456321653479735</v>
      </c>
      <c r="AI56" s="27">
        <f t="shared" si="18"/>
        <v>0.18318809005083514</v>
      </c>
      <c r="AJ56" s="27">
        <f t="shared" si="18"/>
        <v>0.17121320890165112</v>
      </c>
    </row>
    <row r="57" spans="2:36" ht="12.75">
      <c r="B57" s="18" t="s">
        <v>28</v>
      </c>
      <c r="C57" s="19" t="s">
        <v>113</v>
      </c>
      <c r="D57" s="27">
        <f t="shared" si="15"/>
        <v>0.006826278681581505</v>
      </c>
      <c r="E57" s="27">
        <f t="shared" si="15"/>
        <v>0.006488105140575611</v>
      </c>
      <c r="F57" s="27">
        <f t="shared" si="15"/>
        <v>0.0050148879485973985</v>
      </c>
      <c r="G57" s="27">
        <f t="shared" si="15"/>
        <v>0.003969128996692392</v>
      </c>
      <c r="H57" s="27">
        <f t="shared" si="15"/>
        <v>0.0026859312772066313</v>
      </c>
      <c r="I57" s="27">
        <f t="shared" si="15"/>
        <v>0.0043864603335968975</v>
      </c>
      <c r="J57" s="27">
        <f t="shared" si="15"/>
        <v>0.00527939829323562</v>
      </c>
      <c r="K57" s="27">
        <f t="shared" si="15"/>
        <v>0.007415254237288136</v>
      </c>
      <c r="L57" s="27">
        <f t="shared" si="15"/>
        <v>0.008395584055000991</v>
      </c>
      <c r="M57" s="27">
        <f t="shared" si="15"/>
        <v>0.013522854920936663</v>
      </c>
      <c r="N57" s="27">
        <f t="shared" si="15"/>
        <v>0.014151405347174616</v>
      </c>
      <c r="O57" s="27">
        <f t="shared" si="15"/>
        <v>0.0097431906614786</v>
      </c>
      <c r="P57" s="27">
        <f t="shared" si="15"/>
        <v>0.004735376044568245</v>
      </c>
      <c r="Q57" s="27">
        <f t="shared" si="15"/>
        <v>0.005612722170252572</v>
      </c>
      <c r="R57" s="27">
        <f t="shared" si="15"/>
        <v>0.004342017368069473</v>
      </c>
      <c r="S57" s="27">
        <f t="shared" si="15"/>
        <v>0.004426860564585115</v>
      </c>
      <c r="T57" s="27">
        <f t="shared" si="15"/>
        <v>0.004011293934378346</v>
      </c>
      <c r="U57" s="27">
        <f t="shared" si="15"/>
        <v>0.006512301013024602</v>
      </c>
      <c r="V57" s="27">
        <f t="shared" si="15"/>
        <v>0.0057950795481984275</v>
      </c>
      <c r="W57" s="27">
        <f t="shared" si="15"/>
        <v>0.008741646343394673</v>
      </c>
      <c r="X57" s="27">
        <f t="shared" si="15"/>
        <v>0.010077992104503001</v>
      </c>
      <c r="Y57" s="27">
        <f t="shared" si="15"/>
        <v>0.014145810663764961</v>
      </c>
      <c r="Z57" s="27">
        <f t="shared" si="15"/>
        <v>0.0164332784184514</v>
      </c>
      <c r="AA57" s="27">
        <f t="shared" si="15"/>
        <v>0.00931285367825384</v>
      </c>
      <c r="AB57" s="27">
        <f t="shared" si="15"/>
        <v>0.0055769102584042485</v>
      </c>
      <c r="AC57" s="27">
        <f t="shared" si="15"/>
        <v>0.0058295620158011815</v>
      </c>
      <c r="AD57" s="27">
        <f t="shared" si="15"/>
        <v>0.004493282320491147</v>
      </c>
      <c r="AE57" s="27">
        <f t="shared" si="16"/>
        <v>0.003828982698082331</v>
      </c>
      <c r="AF57" s="27">
        <f t="shared" si="16"/>
        <v>0.0030898374709769603</v>
      </c>
      <c r="AG57" s="27">
        <f t="shared" si="17"/>
        <v>0.005648551752598592</v>
      </c>
      <c r="AH57" s="27">
        <f t="shared" si="17"/>
        <v>0.0061036654287098336</v>
      </c>
      <c r="AI57" s="27">
        <f t="shared" si="18"/>
        <v>0.008533042846768337</v>
      </c>
      <c r="AJ57" s="27">
        <f t="shared" si="18"/>
        <v>0.009789205769105266</v>
      </c>
    </row>
    <row r="58" spans="2:36" ht="12.75">
      <c r="B58" s="18" t="s">
        <v>29</v>
      </c>
      <c r="C58" s="19" t="s">
        <v>113</v>
      </c>
      <c r="D58" s="27">
        <f t="shared" si="15"/>
        <v>0.010887167094347144</v>
      </c>
      <c r="E58" s="27">
        <f t="shared" si="15"/>
        <v>0.01075805467753563</v>
      </c>
      <c r="F58" s="27">
        <f t="shared" si="15"/>
        <v>0.00852978709114111</v>
      </c>
      <c r="G58" s="27">
        <f t="shared" si="15"/>
        <v>0.006715445524706825</v>
      </c>
      <c r="H58" s="27">
        <f t="shared" si="15"/>
        <v>0.004275879102219752</v>
      </c>
      <c r="I58" s="27">
        <f t="shared" si="15"/>
        <v>0.007003275725742686</v>
      </c>
      <c r="J58" s="27">
        <f t="shared" si="15"/>
        <v>0.009763270816257654</v>
      </c>
      <c r="K58" s="27">
        <f t="shared" si="15"/>
        <v>0.012774177467597209</v>
      </c>
      <c r="L58" s="27">
        <f t="shared" si="15"/>
        <v>0.01774971904541548</v>
      </c>
      <c r="M58" s="27">
        <f t="shared" si="15"/>
        <v>0.02432385725395317</v>
      </c>
      <c r="N58" s="27">
        <f t="shared" si="15"/>
        <v>0.025217902262266185</v>
      </c>
      <c r="O58" s="27">
        <f t="shared" si="15"/>
        <v>0.017151750972762645</v>
      </c>
      <c r="P58" s="27">
        <f t="shared" si="15"/>
        <v>0.012914661939731578</v>
      </c>
      <c r="Q58" s="27">
        <f t="shared" si="15"/>
        <v>0.014967259120673527</v>
      </c>
      <c r="R58" s="27">
        <f t="shared" si="15"/>
        <v>0.009882510118275767</v>
      </c>
      <c r="S58" s="27">
        <f t="shared" si="15"/>
        <v>0.008383233532934131</v>
      </c>
      <c r="T58" s="27">
        <f t="shared" si="15"/>
        <v>0.007535780352448642</v>
      </c>
      <c r="U58" s="27">
        <f t="shared" si="15"/>
        <v>0.010108319080822699</v>
      </c>
      <c r="V58" s="27">
        <f t="shared" si="15"/>
        <v>0.010812116008907252</v>
      </c>
      <c r="W58" s="27">
        <f t="shared" si="15"/>
        <v>0.014664428467361353</v>
      </c>
      <c r="X58" s="27">
        <f t="shared" si="15"/>
        <v>0.01790929807105947</v>
      </c>
      <c r="Y58" s="27">
        <f t="shared" si="15"/>
        <v>0.02434207874904284</v>
      </c>
      <c r="Z58" s="27">
        <f t="shared" si="15"/>
        <v>0.02084019769357496</v>
      </c>
      <c r="AA58" s="27">
        <f t="shared" si="15"/>
        <v>0.017849636216653194</v>
      </c>
      <c r="AB58" s="27">
        <f t="shared" si="15"/>
        <v>0.012753571666629635</v>
      </c>
      <c r="AC58" s="27">
        <f t="shared" si="15"/>
        <v>0.011377873232594411</v>
      </c>
      <c r="AD58" s="27">
        <f t="shared" si="15"/>
        <v>0.009475932022421923</v>
      </c>
      <c r="AE58" s="27">
        <f t="shared" si="16"/>
        <v>0.006402821690154272</v>
      </c>
      <c r="AF58" s="27">
        <f t="shared" si="16"/>
        <v>0.00601893195213431</v>
      </c>
      <c r="AG58" s="27">
        <f t="shared" si="17"/>
        <v>0.011606613190271078</v>
      </c>
      <c r="AH58" s="27">
        <f t="shared" si="17"/>
        <v>0.012110447279186178</v>
      </c>
      <c r="AI58" s="27">
        <f t="shared" si="18"/>
        <v>0.01476640038731542</v>
      </c>
      <c r="AJ58" s="27">
        <f t="shared" si="18"/>
        <v>0.017294263525419306</v>
      </c>
    </row>
    <row r="59" spans="2:36" ht="12.75">
      <c r="B59" s="18" t="s">
        <v>30</v>
      </c>
      <c r="C59" s="19" t="s">
        <v>113</v>
      </c>
      <c r="D59" s="27">
        <f t="shared" si="15"/>
        <v>0.009392361543635866</v>
      </c>
      <c r="E59" s="27">
        <f t="shared" si="15"/>
        <v>0.00992624632617978</v>
      </c>
      <c r="F59" s="27">
        <f t="shared" si="15"/>
        <v>0.009179035977343453</v>
      </c>
      <c r="G59" s="27">
        <f t="shared" si="15"/>
        <v>0.011105542748321139</v>
      </c>
      <c r="H59" s="27">
        <f t="shared" si="15"/>
        <v>0.010079960482850174</v>
      </c>
      <c r="I59" s="27">
        <f t="shared" si="15"/>
        <v>0.008490530516962235</v>
      </c>
      <c r="J59" s="27">
        <f t="shared" si="15"/>
        <v>0.007955257702135865</v>
      </c>
      <c r="K59" s="27">
        <f t="shared" si="15"/>
        <v>0.006916749750747756</v>
      </c>
      <c r="L59" s="27">
        <f t="shared" si="15"/>
        <v>0.006742910028425993</v>
      </c>
      <c r="M59" s="27">
        <f t="shared" si="15"/>
        <v>0.005616521213168582</v>
      </c>
      <c r="N59" s="27">
        <f t="shared" si="15"/>
        <v>0.00714915287435119</v>
      </c>
      <c r="O59" s="27">
        <f t="shared" si="15"/>
        <v>0.008684824902723735</v>
      </c>
      <c r="P59" s="27">
        <f t="shared" si="15"/>
        <v>0.008027348695872372</v>
      </c>
      <c r="Q59" s="27">
        <f t="shared" si="15"/>
        <v>0.00807891827536355</v>
      </c>
      <c r="R59" s="27">
        <f t="shared" si="15"/>
        <v>0.009941451530512005</v>
      </c>
      <c r="S59" s="27">
        <f t="shared" si="15"/>
        <v>0.008682634730538923</v>
      </c>
      <c r="T59" s="27">
        <f t="shared" si="15"/>
        <v>0.010748709960081784</v>
      </c>
      <c r="U59" s="27">
        <f t="shared" si="15"/>
        <v>0.009209314563873175</v>
      </c>
      <c r="V59" s="27">
        <f t="shared" si="15"/>
        <v>0.007646285514984036</v>
      </c>
      <c r="W59" s="27">
        <f t="shared" si="15"/>
        <v>0.0073797231811991255</v>
      </c>
      <c r="X59" s="27">
        <f t="shared" si="15"/>
        <v>0.007157300125172513</v>
      </c>
      <c r="Y59" s="27">
        <f t="shared" si="15"/>
        <v>0.007455769153266433</v>
      </c>
      <c r="Z59" s="27">
        <f t="shared" si="15"/>
        <v>0.008072487644151565</v>
      </c>
      <c r="AA59" s="27">
        <f t="shared" si="15"/>
        <v>0.007016976556184317</v>
      </c>
      <c r="AB59" s="27">
        <f t="shared" si="15"/>
        <v>0.00804319328104517</v>
      </c>
      <c r="AC59" s="27">
        <f t="shared" si="15"/>
        <v>0.008105136662320064</v>
      </c>
      <c r="AD59" s="27">
        <f t="shared" si="15"/>
        <v>0.009075540528516772</v>
      </c>
      <c r="AE59" s="27">
        <f t="shared" si="16"/>
        <v>0.008897221207162263</v>
      </c>
      <c r="AF59" s="27">
        <f t="shared" si="16"/>
        <v>0.007679942846936953</v>
      </c>
      <c r="AG59" s="27">
        <f t="shared" si="17"/>
        <v>0.007737742126847386</v>
      </c>
      <c r="AH59" s="27">
        <f t="shared" si="17"/>
        <v>0.004941062489907961</v>
      </c>
      <c r="AI59" s="27">
        <f t="shared" si="18"/>
        <v>0.005900508351488744</v>
      </c>
      <c r="AJ59" s="27">
        <f t="shared" si="18"/>
        <v>0.00600404620505123</v>
      </c>
    </row>
    <row r="60" spans="2:36" ht="12.75">
      <c r="B60" s="18" t="s">
        <v>31</v>
      </c>
      <c r="C60" s="19" t="s">
        <v>113</v>
      </c>
      <c r="D60" s="27">
        <f t="shared" si="15"/>
        <v>0.011808963850619098</v>
      </c>
      <c r="E60" s="27">
        <f t="shared" si="15"/>
        <v>0.011534409138801088</v>
      </c>
      <c r="F60" s="27">
        <f t="shared" si="15"/>
        <v>0.010119327467705466</v>
      </c>
      <c r="G60" s="27">
        <f t="shared" si="15"/>
        <v>0.011867294777989375</v>
      </c>
      <c r="H60" s="27">
        <f t="shared" si="15"/>
        <v>0.01202494520082739</v>
      </c>
      <c r="I60" s="27">
        <f t="shared" si="15"/>
        <v>0.009846003238073723</v>
      </c>
      <c r="J60" s="27">
        <f t="shared" si="15"/>
        <v>0.010341835012776626</v>
      </c>
      <c r="K60" s="27">
        <f t="shared" si="15"/>
        <v>0.00872382851445663</v>
      </c>
      <c r="L60" s="27">
        <f t="shared" si="15"/>
        <v>0.00849474449659549</v>
      </c>
      <c r="M60" s="27">
        <f t="shared" si="15"/>
        <v>0.007733517670439817</v>
      </c>
      <c r="N60" s="27">
        <f t="shared" si="15"/>
        <v>0.006365684066203114</v>
      </c>
      <c r="O60" s="27">
        <f t="shared" si="15"/>
        <v>0.00846692607003891</v>
      </c>
      <c r="P60" s="27">
        <f t="shared" si="15"/>
        <v>0.010331729551785263</v>
      </c>
      <c r="Q60" s="27">
        <f t="shared" si="15"/>
        <v>0.009723049012104204</v>
      </c>
      <c r="R60" s="27">
        <f t="shared" si="15"/>
        <v>0.01002004008016032</v>
      </c>
      <c r="S60" s="27">
        <f t="shared" si="15"/>
        <v>0.008254918733960651</v>
      </c>
      <c r="T60" s="27">
        <f t="shared" si="15"/>
        <v>0.009346704313114594</v>
      </c>
      <c r="U60" s="27">
        <f t="shared" si="15"/>
        <v>0.008551506380739376</v>
      </c>
      <c r="V60" s="27">
        <f t="shared" si="15"/>
        <v>0.008021892522737639</v>
      </c>
      <c r="W60" s="27">
        <f t="shared" si="15"/>
        <v>0.0070313242327304975</v>
      </c>
      <c r="X60" s="27">
        <f t="shared" si="15"/>
        <v>0.007735019417787335</v>
      </c>
      <c r="Y60" s="27">
        <f t="shared" si="15"/>
        <v>0.00608551968726071</v>
      </c>
      <c r="Z60" s="27">
        <f t="shared" si="15"/>
        <v>0.0042833607907743</v>
      </c>
      <c r="AA60" s="27">
        <f t="shared" si="15"/>
        <v>0.006855295068714632</v>
      </c>
      <c r="AB60" s="27">
        <f t="shared" si="15"/>
        <v>0.006754504854800365</v>
      </c>
      <c r="AC60" s="27">
        <f t="shared" si="15"/>
        <v>0.0040909207128429345</v>
      </c>
      <c r="AD60" s="27">
        <f t="shared" si="15"/>
        <v>0.0039371830234006585</v>
      </c>
      <c r="AE60" s="27">
        <f t="shared" si="16"/>
        <v>0.003463561112788167</v>
      </c>
      <c r="AF60" s="27">
        <f t="shared" si="16"/>
        <v>0.0024290051794963385</v>
      </c>
      <c r="AG60" s="27">
        <f t="shared" si="17"/>
        <v>0.0018312656366872148</v>
      </c>
      <c r="AH60" s="27">
        <f t="shared" si="17"/>
        <v>0.0012594865170353624</v>
      </c>
      <c r="AI60" s="27">
        <f t="shared" si="18"/>
        <v>0.001391914790607601</v>
      </c>
      <c r="AJ60" s="27">
        <f t="shared" si="18"/>
        <v>0.0012073353781896497</v>
      </c>
    </row>
    <row r="61" spans="2:36" ht="12.75">
      <c r="B61" s="18" t="s">
        <v>32</v>
      </c>
      <c r="C61" s="19" t="s">
        <v>113</v>
      </c>
      <c r="D61" s="27">
        <f t="shared" si="15"/>
        <v>0.030020678143451506</v>
      </c>
      <c r="E61" s="27">
        <f t="shared" si="15"/>
        <v>0.028752842011867133</v>
      </c>
      <c r="F61" s="27">
        <f t="shared" si="15"/>
        <v>0.02982067298005239</v>
      </c>
      <c r="G61" s="27">
        <f t="shared" si="15"/>
        <v>0.028084594567505262</v>
      </c>
      <c r="H61" s="27">
        <f t="shared" si="15"/>
        <v>0.029035843289802722</v>
      </c>
      <c r="I61" s="27">
        <f t="shared" si="15"/>
        <v>0.029123837493881546</v>
      </c>
      <c r="J61" s="27">
        <f t="shared" si="15"/>
        <v>0.030374620317246033</v>
      </c>
      <c r="K61" s="27">
        <f t="shared" si="15"/>
        <v>0.02735543369890329</v>
      </c>
      <c r="L61" s="27">
        <f t="shared" si="15"/>
        <v>0.026839426191577972</v>
      </c>
      <c r="M61" s="27">
        <f t="shared" si="15"/>
        <v>0.02484230536593796</v>
      </c>
      <c r="N61" s="27">
        <f t="shared" si="15"/>
        <v>0.017187346978748408</v>
      </c>
      <c r="O61" s="27">
        <f t="shared" si="15"/>
        <v>0.026739299610894943</v>
      </c>
      <c r="P61" s="27">
        <f t="shared" si="15"/>
        <v>0.030665991390225373</v>
      </c>
      <c r="Q61" s="27">
        <f t="shared" si="15"/>
        <v>0.029367576607988208</v>
      </c>
      <c r="R61" s="27">
        <f t="shared" si="15"/>
        <v>0.032732130928523714</v>
      </c>
      <c r="S61" s="27">
        <f t="shared" si="15"/>
        <v>0.029170230966638153</v>
      </c>
      <c r="T61" s="27">
        <f t="shared" si="15"/>
        <v>0.03333657871677539</v>
      </c>
      <c r="U61" s="27">
        <f t="shared" si="15"/>
        <v>0.031465158093233345</v>
      </c>
      <c r="V61" s="27">
        <f t="shared" si="15"/>
        <v>0.03109489442760175</v>
      </c>
      <c r="W61" s="27">
        <f t="shared" si="15"/>
        <v>0.02362778323250879</v>
      </c>
      <c r="X61" s="27">
        <f t="shared" si="15"/>
        <v>0.024071637192284237</v>
      </c>
      <c r="Y61" s="27">
        <f t="shared" si="15"/>
        <v>0.020352234715673236</v>
      </c>
      <c r="Z61" s="27">
        <f t="shared" si="15"/>
        <v>0.018780889621087316</v>
      </c>
      <c r="AA61" s="27">
        <f t="shared" si="15"/>
        <v>0.024284559417946647</v>
      </c>
      <c r="AB61" s="27">
        <f t="shared" si="15"/>
        <v>0.02895105205856867</v>
      </c>
      <c r="AC61" s="27">
        <f t="shared" si="15"/>
        <v>0.027306895758226587</v>
      </c>
      <c r="AD61" s="27">
        <f t="shared" si="15"/>
        <v>0.03332146988166207</v>
      </c>
      <c r="AE61" s="27">
        <f t="shared" si="16"/>
        <v>0.029074847873405252</v>
      </c>
      <c r="AF61" s="27">
        <f t="shared" si="16"/>
        <v>0.028451509198071084</v>
      </c>
      <c r="AG61" s="27">
        <f t="shared" si="17"/>
        <v>0.023213226380542157</v>
      </c>
      <c r="AH61" s="27">
        <f t="shared" si="17"/>
        <v>0.019473599224931373</v>
      </c>
      <c r="AI61" s="27">
        <f t="shared" si="18"/>
        <v>0.020697167755991286</v>
      </c>
      <c r="AJ61" s="27">
        <f t="shared" si="18"/>
        <v>0.019415258108725447</v>
      </c>
    </row>
    <row r="62" spans="2:36" ht="12.75">
      <c r="B62" s="18" t="s">
        <v>33</v>
      </c>
      <c r="C62" s="19" t="s">
        <v>113</v>
      </c>
      <c r="D62" s="27">
        <f t="shared" si="15"/>
        <v>0.07608560253120407</v>
      </c>
      <c r="E62" s="27">
        <f t="shared" si="15"/>
        <v>0.06909554705262574</v>
      </c>
      <c r="F62" s="27">
        <f t="shared" si="15"/>
        <v>0.07150692905276826</v>
      </c>
      <c r="G62" s="27">
        <f t="shared" si="15"/>
        <v>0.07322842537837025</v>
      </c>
      <c r="H62" s="27">
        <f t="shared" si="15"/>
        <v>0.07793831619894415</v>
      </c>
      <c r="I62" s="27">
        <f t="shared" si="15"/>
        <v>0.07409917542076132</v>
      </c>
      <c r="J62" s="27">
        <f t="shared" si="15"/>
        <v>0.0679571862494576</v>
      </c>
      <c r="K62" s="27">
        <f t="shared" si="15"/>
        <v>0.0644005483549352</v>
      </c>
      <c r="L62" s="27">
        <f t="shared" si="15"/>
        <v>0.05486877768228995</v>
      </c>
      <c r="M62" s="27">
        <f t="shared" si="15"/>
        <v>0.04316080532273395</v>
      </c>
      <c r="N62" s="27">
        <f t="shared" si="15"/>
        <v>0.04593085887768093</v>
      </c>
      <c r="O62" s="27">
        <f t="shared" si="15"/>
        <v>0.05382101167315175</v>
      </c>
      <c r="P62" s="27">
        <f t="shared" si="15"/>
        <v>0.052570270954672066</v>
      </c>
      <c r="Q62" s="27">
        <f t="shared" si="15"/>
        <v>0.05292400147404824</v>
      </c>
      <c r="R62" s="27">
        <f t="shared" si="15"/>
        <v>0.056190812998546114</v>
      </c>
      <c r="S62" s="27">
        <f t="shared" si="15"/>
        <v>0.059880239520958084</v>
      </c>
      <c r="T62" s="27">
        <f t="shared" si="15"/>
        <v>0.053023074676273</v>
      </c>
      <c r="U62" s="27">
        <f t="shared" si="15"/>
        <v>0.050541595404113494</v>
      </c>
      <c r="V62" s="27">
        <f t="shared" si="15"/>
        <v>0.04619966195369302</v>
      </c>
      <c r="W62" s="27">
        <f t="shared" si="15"/>
        <v>0.0436765590852944</v>
      </c>
      <c r="X62" s="27">
        <f t="shared" si="15"/>
        <v>0.039060243284013224</v>
      </c>
      <c r="Y62" s="27">
        <f t="shared" si="15"/>
        <v>0.03320839882319752</v>
      </c>
      <c r="Z62" s="27">
        <f t="shared" si="15"/>
        <v>0.03826194398682043</v>
      </c>
      <c r="AA62" s="27">
        <f t="shared" si="15"/>
        <v>0.04035569927243331</v>
      </c>
      <c r="AB62" s="27">
        <f t="shared" si="15"/>
        <v>0.042104561512653585</v>
      </c>
      <c r="AC62" s="27">
        <f t="shared" si="15"/>
        <v>0.04451433100662218</v>
      </c>
      <c r="AD62" s="27">
        <f t="shared" si="15"/>
        <v>0.04495506717679509</v>
      </c>
      <c r="AE62" s="27">
        <f t="shared" si="16"/>
        <v>0.046217886592205396</v>
      </c>
      <c r="AF62" s="27">
        <f t="shared" si="16"/>
        <v>0.04136452938024647</v>
      </c>
      <c r="AG62" s="27">
        <f t="shared" si="17"/>
        <v>0.03724433210389209</v>
      </c>
      <c r="AH62" s="27">
        <f t="shared" si="17"/>
        <v>0.03862425318908445</v>
      </c>
      <c r="AI62" s="27">
        <f t="shared" si="18"/>
        <v>0.032679738562091505</v>
      </c>
      <c r="AJ62" s="27">
        <f t="shared" si="18"/>
        <v>0.03139071983293089</v>
      </c>
    </row>
    <row r="63" spans="2:36" ht="12.75">
      <c r="B63" s="18" t="s">
        <v>34</v>
      </c>
      <c r="C63" s="19" t="s">
        <v>113</v>
      </c>
      <c r="D63" s="27">
        <f t="shared" si="15"/>
        <v>0.04384762948753083</v>
      </c>
      <c r="E63" s="27">
        <f t="shared" si="15"/>
        <v>0.04261631453446459</v>
      </c>
      <c r="F63" s="27">
        <f t="shared" si="15"/>
        <v>0.0411265587570242</v>
      </c>
      <c r="G63" s="27">
        <f t="shared" si="15"/>
        <v>0.044422170993284556</v>
      </c>
      <c r="H63" s="27">
        <f t="shared" si="15"/>
        <v>0.043808465314439195</v>
      </c>
      <c r="I63" s="27">
        <f t="shared" si="15"/>
        <v>0.042659738694980985</v>
      </c>
      <c r="J63" s="27">
        <f t="shared" si="15"/>
        <v>0.046911913601079984</v>
      </c>
      <c r="K63" s="27">
        <f t="shared" si="15"/>
        <v>0.045550847457627115</v>
      </c>
      <c r="L63" s="27">
        <f t="shared" si="15"/>
        <v>0.04772922588748595</v>
      </c>
      <c r="M63" s="27">
        <f t="shared" si="15"/>
        <v>0.04977101875054005</v>
      </c>
      <c r="N63" s="27">
        <f t="shared" si="15"/>
        <v>0.046910194887866026</v>
      </c>
      <c r="O63" s="27">
        <f t="shared" si="15"/>
        <v>0.04336186770428015</v>
      </c>
      <c r="P63" s="27">
        <f t="shared" si="15"/>
        <v>0.04203595847049886</v>
      </c>
      <c r="Q63" s="27">
        <f t="shared" si="15"/>
        <v>0.03863707231340534</v>
      </c>
      <c r="R63" s="27">
        <f t="shared" si="15"/>
        <v>0.037958269480136746</v>
      </c>
      <c r="S63" s="27">
        <f t="shared" si="15"/>
        <v>0.03671941830624465</v>
      </c>
      <c r="T63" s="27">
        <f t="shared" si="15"/>
        <v>0.040190828546392755</v>
      </c>
      <c r="U63" s="27">
        <f t="shared" si="15"/>
        <v>0.039775468140157</v>
      </c>
      <c r="V63" s="27">
        <f t="shared" si="15"/>
        <v>0.0411289673490194</v>
      </c>
      <c r="W63" s="27">
        <f t="shared" si="15"/>
        <v>0.04183954644791436</v>
      </c>
      <c r="X63" s="27">
        <f t="shared" si="15"/>
        <v>0.04339313797862439</v>
      </c>
      <c r="Y63" s="27">
        <f t="shared" si="15"/>
        <v>0.04924837786644098</v>
      </c>
      <c r="Z63" s="27">
        <f t="shared" si="15"/>
        <v>0.05065897858319605</v>
      </c>
      <c r="AA63" s="27">
        <f t="shared" si="15"/>
        <v>0.04510913500404204</v>
      </c>
      <c r="AB63" s="27">
        <f t="shared" si="15"/>
        <v>0.041038060746106164</v>
      </c>
      <c r="AC63" s="27">
        <f t="shared" si="15"/>
        <v>0.040679092838331925</v>
      </c>
      <c r="AD63" s="27">
        <f t="shared" si="15"/>
        <v>0.042174570691342644</v>
      </c>
      <c r="AE63" s="27">
        <f t="shared" si="16"/>
        <v>0.0364468311593397</v>
      </c>
      <c r="AF63" s="27">
        <f t="shared" si="16"/>
        <v>0.03555992141453831</v>
      </c>
      <c r="AG63" s="27">
        <f t="shared" si="17"/>
        <v>0.03665110520750045</v>
      </c>
      <c r="AH63" s="27">
        <f t="shared" si="17"/>
        <v>0.0387857258194736</v>
      </c>
      <c r="AI63" s="27">
        <f t="shared" si="18"/>
        <v>0.03963931251512951</v>
      </c>
      <c r="AJ63" s="27">
        <f t="shared" si="18"/>
        <v>0.041832539319976506</v>
      </c>
    </row>
    <row r="64" spans="2:36" ht="12.75">
      <c r="B64" s="18" t="s">
        <v>35</v>
      </c>
      <c r="C64" s="19" t="s">
        <v>113</v>
      </c>
      <c r="D64" s="27">
        <f t="shared" si="15"/>
        <v>0.1601185879070231</v>
      </c>
      <c r="E64" s="27">
        <f t="shared" si="15"/>
        <v>0.16028946930627183</v>
      </c>
      <c r="F64" s="27">
        <f t="shared" si="15"/>
        <v>0.16996888082924755</v>
      </c>
      <c r="G64" s="27">
        <f t="shared" si="15"/>
        <v>0.17173499047809962</v>
      </c>
      <c r="H64" s="27">
        <f t="shared" si="15"/>
        <v>0.167052576332932</v>
      </c>
      <c r="I64" s="27">
        <f t="shared" si="15"/>
        <v>0.1672879249971761</v>
      </c>
      <c r="J64" s="27">
        <f t="shared" si="15"/>
        <v>0.18121112771804637</v>
      </c>
      <c r="K64" s="27">
        <f t="shared" si="15"/>
        <v>0.165472333000997</v>
      </c>
      <c r="L64" s="27">
        <f t="shared" si="15"/>
        <v>0.17154756395848483</v>
      </c>
      <c r="M64" s="27">
        <f t="shared" si="15"/>
        <v>0.16201503499524755</v>
      </c>
      <c r="N64" s="27">
        <f t="shared" si="15"/>
        <v>0.14597003231808833</v>
      </c>
      <c r="O64" s="27">
        <f t="shared" si="15"/>
        <v>0.15638910505836576</v>
      </c>
      <c r="P64" s="27">
        <f aca="true" t="shared" si="19" ref="P64:AD64">P36/P$49</f>
        <v>0.15679918966827044</v>
      </c>
      <c r="Q64" s="27">
        <f t="shared" si="19"/>
        <v>0.14873713751169318</v>
      </c>
      <c r="R64" s="27">
        <f t="shared" si="19"/>
        <v>0.164760894337695</v>
      </c>
      <c r="S64" s="27">
        <f t="shared" si="19"/>
        <v>0.16199743370402053</v>
      </c>
      <c r="T64" s="27">
        <f t="shared" si="19"/>
        <v>0.1813844805763801</v>
      </c>
      <c r="U64" s="27">
        <f t="shared" si="19"/>
        <v>0.17469192650089901</v>
      </c>
      <c r="V64" s="27">
        <f t="shared" si="19"/>
        <v>0.17656212271617525</v>
      </c>
      <c r="W64" s="27">
        <f t="shared" si="19"/>
        <v>0.16802331105691573</v>
      </c>
      <c r="X64" s="27">
        <f t="shared" si="19"/>
        <v>0.17129377026029463</v>
      </c>
      <c r="Y64" s="27">
        <f t="shared" si="19"/>
        <v>0.1804699149639302</v>
      </c>
      <c r="Z64" s="27">
        <f t="shared" si="19"/>
        <v>0.16663920922570016</v>
      </c>
      <c r="AA64" s="27">
        <f t="shared" si="19"/>
        <v>0.16248989490703314</v>
      </c>
      <c r="AB64" s="27">
        <f t="shared" si="19"/>
        <v>0.17121781056280133</v>
      </c>
      <c r="AC64" s="27">
        <f t="shared" si="19"/>
        <v>0.1745800414205722</v>
      </c>
      <c r="AD64" s="27">
        <f t="shared" si="19"/>
        <v>0.18798380638846873</v>
      </c>
      <c r="AE64" s="27">
        <f aca="true" t="shared" si="20" ref="AE64:AF73">AE36/AE$49</f>
        <v>0.1665686913140878</v>
      </c>
      <c r="AF64" s="27">
        <f t="shared" si="20"/>
        <v>0.1596892302196821</v>
      </c>
      <c r="AG64" s="27">
        <f t="shared" si="17"/>
        <v>0.1545227102731423</v>
      </c>
      <c r="AH64" s="27">
        <f t="shared" si="17"/>
        <v>0.14461488777652187</v>
      </c>
      <c r="AI64" s="27">
        <f t="shared" si="18"/>
        <v>0.1468167513919148</v>
      </c>
      <c r="AJ64" s="27">
        <f t="shared" si="18"/>
        <v>0.14566338184428637</v>
      </c>
    </row>
    <row r="65" spans="2:36" ht="12.75">
      <c r="B65" s="18" t="s">
        <v>36</v>
      </c>
      <c r="C65" s="19" t="s">
        <v>113</v>
      </c>
      <c r="D65" s="27">
        <f aca="true" t="shared" si="21" ref="D65:AD74">D37/D$49</f>
        <v>0.016891302723037446</v>
      </c>
      <c r="E65" s="27">
        <f t="shared" si="21"/>
        <v>0.01680252869738812</v>
      </c>
      <c r="F65" s="27">
        <f t="shared" si="21"/>
        <v>0.017932701994761234</v>
      </c>
      <c r="G65" s="27">
        <f t="shared" si="21"/>
        <v>0.017540342788413352</v>
      </c>
      <c r="H65" s="27">
        <f t="shared" si="21"/>
        <v>0.018322990954277422</v>
      </c>
      <c r="I65" s="27">
        <f t="shared" si="21"/>
        <v>0.01780940547460371</v>
      </c>
      <c r="J65" s="27">
        <f t="shared" si="21"/>
        <v>0.01591051540427173</v>
      </c>
      <c r="K65" s="27">
        <f t="shared" si="21"/>
        <v>0.01473703888334995</v>
      </c>
      <c r="L65" s="27">
        <f t="shared" si="21"/>
        <v>0.011370397302835988</v>
      </c>
      <c r="M65" s="27">
        <f t="shared" si="21"/>
        <v>0.009634494081050722</v>
      </c>
      <c r="N65" s="27">
        <f t="shared" si="21"/>
        <v>0.01253550093036921</v>
      </c>
      <c r="O65" s="27">
        <f t="shared" si="21"/>
        <v>0.012357976653696498</v>
      </c>
      <c r="P65" s="27">
        <f t="shared" si="21"/>
        <v>0.01278804760698911</v>
      </c>
      <c r="Q65" s="27">
        <f t="shared" si="21"/>
        <v>0.01179238597386399</v>
      </c>
      <c r="R65" s="27">
        <f t="shared" si="21"/>
        <v>0.012082989508428623</v>
      </c>
      <c r="S65" s="27">
        <f t="shared" si="21"/>
        <v>0.01454234388366125</v>
      </c>
      <c r="T65" s="27">
        <f t="shared" si="21"/>
        <v>0.012890663031837212</v>
      </c>
      <c r="U65" s="27">
        <f t="shared" si="21"/>
        <v>0.012169451387975266</v>
      </c>
      <c r="V65" s="27">
        <f t="shared" si="21"/>
        <v>0.011107235800713653</v>
      </c>
      <c r="W65" s="27">
        <f t="shared" si="21"/>
        <v>0.01184556424793336</v>
      </c>
      <c r="X65" s="27">
        <f t="shared" si="21"/>
        <v>0.009596559360657316</v>
      </c>
      <c r="Y65" s="27">
        <f t="shared" si="21"/>
        <v>0.007173658969088784</v>
      </c>
      <c r="Z65" s="27">
        <f t="shared" si="21"/>
        <v>0.009349258649093905</v>
      </c>
      <c r="AA65" s="27">
        <f t="shared" si="21"/>
        <v>0.011156022635408245</v>
      </c>
      <c r="AB65" s="27">
        <f t="shared" si="21"/>
        <v>0.01190925855977959</v>
      </c>
      <c r="AC65" s="27">
        <f t="shared" si="21"/>
        <v>0.013218787553373731</v>
      </c>
      <c r="AD65" s="27">
        <f t="shared" si="21"/>
        <v>0.011811549070201975</v>
      </c>
      <c r="AE65" s="27">
        <f t="shared" si="20"/>
        <v>0.01361592602596082</v>
      </c>
      <c r="AF65" s="27">
        <f t="shared" si="20"/>
        <v>0.011912841578853367</v>
      </c>
      <c r="AG65" s="27">
        <f t="shared" si="17"/>
        <v>0.011142348662660236</v>
      </c>
      <c r="AH65" s="27">
        <f t="shared" si="17"/>
        <v>0.010947844340384304</v>
      </c>
      <c r="AI65" s="27">
        <f t="shared" si="18"/>
        <v>0.009229000242072138</v>
      </c>
      <c r="AJ65" s="27">
        <f t="shared" si="18"/>
        <v>0.009626052339620179</v>
      </c>
    </row>
    <row r="66" spans="2:36" ht="12.75">
      <c r="B66" s="18" t="s">
        <v>37</v>
      </c>
      <c r="C66" s="19" t="s">
        <v>113</v>
      </c>
      <c r="D66" s="27">
        <f t="shared" si="21"/>
        <v>0.022148035576372106</v>
      </c>
      <c r="E66" s="27">
        <f t="shared" si="21"/>
        <v>0.021765651860478012</v>
      </c>
      <c r="F66" s="27">
        <f t="shared" si="21"/>
        <v>0.021604316385698614</v>
      </c>
      <c r="G66" s="27">
        <f t="shared" si="21"/>
        <v>0.02599979953893956</v>
      </c>
      <c r="H66" s="27">
        <f t="shared" si="21"/>
        <v>0.02682843999876509</v>
      </c>
      <c r="I66" s="27">
        <f t="shared" si="21"/>
        <v>0.02980157385443729</v>
      </c>
      <c r="J66" s="27">
        <f t="shared" si="21"/>
        <v>0.023214888385323755</v>
      </c>
      <c r="K66" s="27">
        <f t="shared" si="21"/>
        <v>0.024520189431704885</v>
      </c>
      <c r="L66" s="27">
        <f t="shared" si="21"/>
        <v>0.02307132941098698</v>
      </c>
      <c r="M66" s="27">
        <f t="shared" si="21"/>
        <v>0.02147239263803681</v>
      </c>
      <c r="N66" s="27">
        <f t="shared" si="21"/>
        <v>0.023601997845460777</v>
      </c>
      <c r="O66" s="27">
        <f t="shared" si="21"/>
        <v>0.019891050583657588</v>
      </c>
      <c r="P66" s="27">
        <f t="shared" si="21"/>
        <v>0.02200557103064067</v>
      </c>
      <c r="Q66" s="27">
        <f t="shared" si="21"/>
        <v>0.023669813192731808</v>
      </c>
      <c r="R66" s="27">
        <f t="shared" si="21"/>
        <v>0.020747377107155487</v>
      </c>
      <c r="S66" s="27">
        <f t="shared" si="21"/>
        <v>0.027865697177074423</v>
      </c>
      <c r="T66" s="27">
        <f t="shared" si="21"/>
        <v>0.02200369973712394</v>
      </c>
      <c r="U66" s="27">
        <f t="shared" si="21"/>
        <v>0.024952857080208744</v>
      </c>
      <c r="V66" s="27">
        <f t="shared" si="21"/>
        <v>0.021329112226008102</v>
      </c>
      <c r="W66" s="27">
        <f t="shared" si="21"/>
        <v>0.024166217971051215</v>
      </c>
      <c r="X66" s="27">
        <f t="shared" si="21"/>
        <v>0.021279327277979265</v>
      </c>
      <c r="Y66" s="27">
        <f t="shared" si="21"/>
        <v>0.020916455084028535</v>
      </c>
      <c r="Z66" s="27">
        <f t="shared" si="21"/>
        <v>0.021911037891268532</v>
      </c>
      <c r="AA66" s="27">
        <f t="shared" si="21"/>
        <v>0.02202101859337106</v>
      </c>
      <c r="AB66" s="27">
        <f t="shared" si="21"/>
        <v>0.020663452351856376</v>
      </c>
      <c r="AC66" s="27">
        <f t="shared" si="21"/>
        <v>0.022448927411725602</v>
      </c>
      <c r="AD66" s="27">
        <f t="shared" si="21"/>
        <v>0.01981937894830501</v>
      </c>
      <c r="AE66" s="27">
        <f t="shared" si="20"/>
        <v>0.026469233091307734</v>
      </c>
      <c r="AF66" s="27">
        <f t="shared" si="20"/>
        <v>0.024004286479728524</v>
      </c>
      <c r="AG66" s="27">
        <f t="shared" si="17"/>
        <v>0.021897810218978103</v>
      </c>
      <c r="AH66" s="27">
        <f t="shared" si="17"/>
        <v>0.022799935410947846</v>
      </c>
      <c r="AI66" s="27">
        <f t="shared" si="18"/>
        <v>0.021574679254417816</v>
      </c>
      <c r="AJ66" s="27">
        <f t="shared" si="18"/>
        <v>0.020361547999738955</v>
      </c>
    </row>
    <row r="67" spans="2:36" ht="12.75">
      <c r="B67" s="18" t="s">
        <v>38</v>
      </c>
      <c r="C67" s="19" t="s">
        <v>113</v>
      </c>
      <c r="D67" s="27">
        <f t="shared" si="21"/>
        <v>0.029148708238869926</v>
      </c>
      <c r="E67" s="27">
        <f t="shared" si="21"/>
        <v>0.028586480341595964</v>
      </c>
      <c r="F67" s="27">
        <f t="shared" si="21"/>
        <v>0.02937291512749905</v>
      </c>
      <c r="G67" s="27">
        <f t="shared" si="21"/>
        <v>0.03159266312518793</v>
      </c>
      <c r="H67" s="27">
        <f t="shared" si="21"/>
        <v>0.03749498317433855</v>
      </c>
      <c r="I67" s="27">
        <f t="shared" si="21"/>
        <v>0.031025264505440717</v>
      </c>
      <c r="J67" s="27">
        <f t="shared" si="21"/>
        <v>0.02707198302878357</v>
      </c>
      <c r="K67" s="27">
        <f t="shared" si="21"/>
        <v>0.025984546360917248</v>
      </c>
      <c r="L67" s="27">
        <f t="shared" si="21"/>
        <v>0.025021484762345475</v>
      </c>
      <c r="M67" s="27">
        <f t="shared" si="21"/>
        <v>0.021515596647368875</v>
      </c>
      <c r="N67" s="27">
        <f t="shared" si="21"/>
        <v>0.02536480266379395</v>
      </c>
      <c r="O67" s="27">
        <f t="shared" si="21"/>
        <v>0.02406225680933852</v>
      </c>
      <c r="P67" s="27">
        <f t="shared" si="21"/>
        <v>0.024537857685489998</v>
      </c>
      <c r="Q67" s="27">
        <f t="shared" si="21"/>
        <v>0.023272954049380616</v>
      </c>
      <c r="R67" s="27">
        <f t="shared" si="21"/>
        <v>0.024519627490274667</v>
      </c>
      <c r="S67" s="27">
        <f t="shared" si="21"/>
        <v>0.02649700598802395</v>
      </c>
      <c r="T67" s="27">
        <f t="shared" si="21"/>
        <v>0.025313990848018695</v>
      </c>
      <c r="U67" s="27">
        <f t="shared" si="21"/>
        <v>0.025983423233785028</v>
      </c>
      <c r="V67" s="27">
        <f t="shared" si="21"/>
        <v>0.024414455503984116</v>
      </c>
      <c r="W67" s="27">
        <f t="shared" si="21"/>
        <v>0.021474044278339086</v>
      </c>
      <c r="X67" s="27">
        <f t="shared" si="21"/>
        <v>0.01967455146516032</v>
      </c>
      <c r="Y67" s="27">
        <f t="shared" si="21"/>
        <v>0.016886309595776406</v>
      </c>
      <c r="Z67" s="27">
        <f t="shared" si="21"/>
        <v>0.018163097199341022</v>
      </c>
      <c r="AA67" s="27">
        <f t="shared" si="21"/>
        <v>0.02189167340339531</v>
      </c>
      <c r="AB67" s="27">
        <f t="shared" si="21"/>
        <v>0.023485235630013108</v>
      </c>
      <c r="AC67" s="27">
        <f t="shared" si="21"/>
        <v>0.02081255912658843</v>
      </c>
      <c r="AD67" s="27">
        <f t="shared" si="21"/>
        <v>0.02086484562683513</v>
      </c>
      <c r="AE67" s="27">
        <f t="shared" si="20"/>
        <v>0.02327576619373699</v>
      </c>
      <c r="AF67" s="27">
        <f t="shared" si="20"/>
        <v>0.02320057153063047</v>
      </c>
      <c r="AG67" s="27">
        <f t="shared" si="17"/>
        <v>0.019215392948337674</v>
      </c>
      <c r="AH67" s="27">
        <f t="shared" si="17"/>
        <v>0.017245276925561118</v>
      </c>
      <c r="AI67" s="27">
        <f t="shared" si="18"/>
        <v>0.01824618736383442</v>
      </c>
      <c r="AJ67" s="27">
        <f t="shared" si="18"/>
        <v>0.017946877243359655</v>
      </c>
    </row>
    <row r="68" spans="2:36" ht="12.75">
      <c r="B68" s="18" t="s">
        <v>39</v>
      </c>
      <c r="C68" s="19" t="s">
        <v>113</v>
      </c>
      <c r="D68" s="27">
        <f t="shared" si="21"/>
        <v>0.021300979097635717</v>
      </c>
      <c r="E68" s="27">
        <f t="shared" si="21"/>
        <v>0.022625187156879056</v>
      </c>
      <c r="F68" s="27">
        <f t="shared" si="21"/>
        <v>0.021850583204602952</v>
      </c>
      <c r="G68" s="27">
        <f t="shared" si="21"/>
        <v>0.02187030169389596</v>
      </c>
      <c r="H68" s="27">
        <f t="shared" si="21"/>
        <v>0.02256799728319595</v>
      </c>
      <c r="I68" s="27">
        <f t="shared" si="21"/>
        <v>0.019692006476147446</v>
      </c>
      <c r="J68" s="27">
        <f t="shared" si="21"/>
        <v>0.021961332626199315</v>
      </c>
      <c r="K68" s="27">
        <f t="shared" si="21"/>
        <v>0.019285892323030907</v>
      </c>
      <c r="L68" s="27">
        <f t="shared" si="21"/>
        <v>0.022476366761419977</v>
      </c>
      <c r="M68" s="27">
        <f t="shared" si="21"/>
        <v>0.022595696880670525</v>
      </c>
      <c r="N68" s="27">
        <f t="shared" si="21"/>
        <v>0.016844579375183626</v>
      </c>
      <c r="O68" s="27">
        <f t="shared" si="21"/>
        <v>0.018832684824902725</v>
      </c>
      <c r="P68" s="27">
        <f t="shared" si="21"/>
        <v>0.022512028361610533</v>
      </c>
      <c r="Q68" s="27">
        <f t="shared" si="21"/>
        <v>0.02219576494599881</v>
      </c>
      <c r="R68" s="27">
        <f t="shared" si="21"/>
        <v>0.024558921765098825</v>
      </c>
      <c r="S68" s="27">
        <f t="shared" si="21"/>
        <v>0.018755346449957227</v>
      </c>
      <c r="T68" s="27">
        <f t="shared" si="21"/>
        <v>0.022665757959302892</v>
      </c>
      <c r="U68" s="27">
        <f t="shared" si="21"/>
        <v>0.022146208832171204</v>
      </c>
      <c r="V68" s="27">
        <f t="shared" si="21"/>
        <v>0.022321787889356907</v>
      </c>
      <c r="W68" s="27">
        <f t="shared" si="21"/>
        <v>0.019161942165774555</v>
      </c>
      <c r="X68" s="27">
        <f t="shared" si="21"/>
        <v>0.01861539942869981</v>
      </c>
      <c r="Y68" s="27">
        <f t="shared" si="21"/>
        <v>0.018377463426429694</v>
      </c>
      <c r="Z68" s="27">
        <f t="shared" si="21"/>
        <v>0.015897858319604614</v>
      </c>
      <c r="AA68" s="27">
        <f t="shared" si="21"/>
        <v>0.01694421988682296</v>
      </c>
      <c r="AB68" s="27">
        <f t="shared" si="21"/>
        <v>0.019552514053369476</v>
      </c>
      <c r="AC68" s="27">
        <f t="shared" si="21"/>
        <v>0.01815346066324052</v>
      </c>
      <c r="AD68" s="27">
        <f t="shared" si="21"/>
        <v>0.019975086751490345</v>
      </c>
      <c r="AE68" s="27">
        <f t="shared" si="20"/>
        <v>0.01885893138018144</v>
      </c>
      <c r="AF68" s="27">
        <f t="shared" si="20"/>
        <v>0.01719949991069834</v>
      </c>
      <c r="AG68" s="27">
        <f t="shared" si="17"/>
        <v>0.015062804673596244</v>
      </c>
      <c r="AH68" s="27">
        <f t="shared" si="17"/>
        <v>0.013886646213466818</v>
      </c>
      <c r="AI68" s="27">
        <f t="shared" si="18"/>
        <v>0.017035826676349553</v>
      </c>
      <c r="AJ68" s="27">
        <f t="shared" si="18"/>
        <v>0.01706584872414018</v>
      </c>
    </row>
    <row r="69" spans="2:36" ht="25.5">
      <c r="B69" s="18" t="s">
        <v>40</v>
      </c>
      <c r="C69" s="19" t="s">
        <v>113</v>
      </c>
      <c r="D69" s="27">
        <f t="shared" si="21"/>
        <v>0.09459627793417873</v>
      </c>
      <c r="E69" s="27">
        <f t="shared" si="21"/>
        <v>0.09374480119780403</v>
      </c>
      <c r="F69" s="27">
        <f t="shared" si="21"/>
        <v>0.10177535988537399</v>
      </c>
      <c r="G69" s="27">
        <f t="shared" si="21"/>
        <v>0.09966923925027564</v>
      </c>
      <c r="H69" s="27">
        <f t="shared" si="21"/>
        <v>0.1115742027106295</v>
      </c>
      <c r="I69" s="27">
        <f t="shared" si="21"/>
        <v>0.10751534319816258</v>
      </c>
      <c r="J69" s="27">
        <f t="shared" si="21"/>
        <v>0.10047731546212815</v>
      </c>
      <c r="K69" s="27">
        <f t="shared" si="21"/>
        <v>0.09966974077766699</v>
      </c>
      <c r="L69" s="27">
        <f t="shared" si="21"/>
        <v>0.0920869967607589</v>
      </c>
      <c r="M69" s="27">
        <f t="shared" si="21"/>
        <v>0.0846798582908494</v>
      </c>
      <c r="N69" s="27">
        <f t="shared" si="21"/>
        <v>0.08334149446675154</v>
      </c>
      <c r="O69" s="27">
        <f t="shared" si="21"/>
        <v>0.11075486381322958</v>
      </c>
      <c r="P69" s="27">
        <f t="shared" si="21"/>
        <v>0.12461382628513548</v>
      </c>
      <c r="Q69" s="27">
        <f t="shared" si="21"/>
        <v>0.11324659126342942</v>
      </c>
      <c r="R69" s="27">
        <f t="shared" si="21"/>
        <v>0.11532869660890409</v>
      </c>
      <c r="S69" s="27">
        <f t="shared" si="21"/>
        <v>0.11668092386655261</v>
      </c>
      <c r="T69" s="27">
        <f t="shared" si="21"/>
        <v>0.11064161230649401</v>
      </c>
      <c r="U69" s="27">
        <f t="shared" si="21"/>
        <v>0.10472306275490068</v>
      </c>
      <c r="V69" s="27">
        <f t="shared" si="21"/>
        <v>0.10973090440801653</v>
      </c>
      <c r="W69" s="27">
        <f t="shared" si="21"/>
        <v>0.10661007823140024</v>
      </c>
      <c r="X69" s="27">
        <f t="shared" si="21"/>
        <v>0.10113297172385018</v>
      </c>
      <c r="Y69" s="27">
        <f t="shared" si="21"/>
        <v>0.08543908435094506</v>
      </c>
      <c r="Z69" s="27">
        <f t="shared" si="21"/>
        <v>0.08719110378912685</v>
      </c>
      <c r="AA69" s="27">
        <f t="shared" si="21"/>
        <v>0.10166531932093775</v>
      </c>
      <c r="AB69" s="27">
        <f t="shared" si="21"/>
        <v>0.11460439487190881</v>
      </c>
      <c r="AC69" s="27">
        <f t="shared" si="21"/>
        <v>0.10984122113983279</v>
      </c>
      <c r="AD69" s="27">
        <f t="shared" si="21"/>
        <v>0.10848385087641249</v>
      </c>
      <c r="AE69" s="27">
        <f t="shared" si="20"/>
        <v>0.09885448276957785</v>
      </c>
      <c r="AF69" s="27">
        <f t="shared" si="20"/>
        <v>0.09160564386497588</v>
      </c>
      <c r="AG69" s="27">
        <f t="shared" si="17"/>
        <v>0.07665523200330143</v>
      </c>
      <c r="AH69" s="27">
        <f t="shared" si="17"/>
        <v>0.07660261585661231</v>
      </c>
      <c r="AI69" s="27">
        <f t="shared" si="18"/>
        <v>0.07295449043815057</v>
      </c>
      <c r="AJ69" s="27">
        <f t="shared" si="18"/>
        <v>0.07217907720420283</v>
      </c>
    </row>
    <row r="70" spans="2:36" ht="12.75">
      <c r="B70" s="18" t="s">
        <v>41</v>
      </c>
      <c r="C70" s="19" t="s">
        <v>113</v>
      </c>
      <c r="D70" s="27">
        <f t="shared" si="21"/>
        <v>0.052392934552430305</v>
      </c>
      <c r="E70" s="27">
        <f t="shared" si="21"/>
        <v>0.04982532024621527</v>
      </c>
      <c r="F70" s="27">
        <f t="shared" si="21"/>
        <v>0.04990261266706965</v>
      </c>
      <c r="G70" s="27">
        <f t="shared" si="21"/>
        <v>0.047910193444923324</v>
      </c>
      <c r="H70" s="27">
        <f t="shared" si="21"/>
        <v>0.044950757926584546</v>
      </c>
      <c r="I70" s="27">
        <f t="shared" si="21"/>
        <v>0.042659738694980985</v>
      </c>
      <c r="J70" s="27">
        <f t="shared" si="21"/>
        <v>0.0428860710669688</v>
      </c>
      <c r="K70" s="27">
        <f t="shared" si="21"/>
        <v>0.046641326021934194</v>
      </c>
      <c r="L70" s="27">
        <f t="shared" si="21"/>
        <v>0.049414953394592454</v>
      </c>
      <c r="M70" s="27">
        <f t="shared" si="21"/>
        <v>0.049425386675883524</v>
      </c>
      <c r="N70" s="27">
        <f t="shared" si="21"/>
        <v>0.0486729997061992</v>
      </c>
      <c r="O70" s="27">
        <f t="shared" si="21"/>
        <v>0.04824902723735409</v>
      </c>
      <c r="P70" s="27">
        <f t="shared" si="21"/>
        <v>0.044239047860217776</v>
      </c>
      <c r="Q70" s="27">
        <f t="shared" si="21"/>
        <v>0.04144343339853162</v>
      </c>
      <c r="R70" s="27">
        <f t="shared" si="21"/>
        <v>0.03701520688435695</v>
      </c>
      <c r="S70" s="27">
        <f t="shared" si="21"/>
        <v>0.03562874251497006</v>
      </c>
      <c r="T70" s="27">
        <f t="shared" si="21"/>
        <v>0.03557589329179243</v>
      </c>
      <c r="U70" s="27">
        <f t="shared" si="21"/>
        <v>0.03690303907380608</v>
      </c>
      <c r="V70" s="27">
        <f t="shared" si="21"/>
        <v>0.038446060150779386</v>
      </c>
      <c r="W70" s="27">
        <f t="shared" si="21"/>
        <v>0.03569505590219491</v>
      </c>
      <c r="X70" s="27">
        <f t="shared" si="21"/>
        <v>0.03707032127611773</v>
      </c>
      <c r="Y70" s="27">
        <f t="shared" si="21"/>
        <v>0.03574739048079636</v>
      </c>
      <c r="Z70" s="27">
        <f t="shared" si="21"/>
        <v>0.03813838550247117</v>
      </c>
      <c r="AA70" s="27">
        <f t="shared" si="21"/>
        <v>0.038738884397736456</v>
      </c>
      <c r="AB70" s="27">
        <f t="shared" si="21"/>
        <v>0.0360388384029151</v>
      </c>
      <c r="AC70" s="27">
        <f t="shared" si="21"/>
        <v>0.036409194344302113</v>
      </c>
      <c r="AD70" s="27">
        <f t="shared" si="21"/>
        <v>0.035056499688584396</v>
      </c>
      <c r="AE70" s="27">
        <f t="shared" si="20"/>
        <v>0.027962695222509968</v>
      </c>
      <c r="AF70" s="27">
        <f t="shared" si="20"/>
        <v>0.026415431327022683</v>
      </c>
      <c r="AG70" s="27">
        <f t="shared" si="17"/>
        <v>0.026308323231281114</v>
      </c>
      <c r="AH70" s="27">
        <f t="shared" si="17"/>
        <v>0.02386565477151623</v>
      </c>
      <c r="AI70" s="27">
        <f t="shared" si="18"/>
        <v>0.025841200677801986</v>
      </c>
      <c r="AJ70" s="27">
        <f t="shared" si="18"/>
        <v>0.02763819095477387</v>
      </c>
    </row>
    <row r="71" spans="2:36" ht="12.75">
      <c r="B71" s="18" t="s">
        <v>42</v>
      </c>
      <c r="C71" s="19" t="s">
        <v>113</v>
      </c>
      <c r="D71" s="27">
        <f t="shared" si="21"/>
        <v>0.045467002167468046</v>
      </c>
      <c r="E71" s="27">
        <f t="shared" si="21"/>
        <v>0.04730216824710253</v>
      </c>
      <c r="F71" s="27">
        <f t="shared" si="21"/>
        <v>0.04670114402131327</v>
      </c>
      <c r="G71" s="27">
        <f t="shared" si="21"/>
        <v>0.042116868798235944</v>
      </c>
      <c r="H71" s="27">
        <f t="shared" si="21"/>
        <v>0.04294402766200488</v>
      </c>
      <c r="I71" s="27">
        <f t="shared" si="21"/>
        <v>0.04068300764336007</v>
      </c>
      <c r="J71" s="27">
        <f t="shared" si="21"/>
        <v>0.034713851791138325</v>
      </c>
      <c r="K71" s="27">
        <f t="shared" si="21"/>
        <v>0.03324401794616152</v>
      </c>
      <c r="L71" s="27">
        <f t="shared" si="21"/>
        <v>0.027566602763270973</v>
      </c>
      <c r="M71" s="27">
        <f t="shared" si="21"/>
        <v>0.019485008208761773</v>
      </c>
      <c r="N71" s="27">
        <f t="shared" si="21"/>
        <v>0.02394476544902556</v>
      </c>
      <c r="O71" s="27">
        <f t="shared" si="21"/>
        <v>0.029603112840466926</v>
      </c>
      <c r="P71" s="27">
        <f t="shared" si="21"/>
        <v>0.03879463155229172</v>
      </c>
      <c r="Q71" s="27">
        <f t="shared" si="21"/>
        <v>0.03333616804150013</v>
      </c>
      <c r="R71" s="27">
        <f t="shared" si="21"/>
        <v>0.03450037329561083</v>
      </c>
      <c r="S71" s="27">
        <f t="shared" si="21"/>
        <v>0.03686911890504705</v>
      </c>
      <c r="T71" s="27">
        <f t="shared" si="21"/>
        <v>0.032246129880245354</v>
      </c>
      <c r="U71" s="27">
        <f t="shared" si="21"/>
        <v>0.034469148796211026</v>
      </c>
      <c r="V71" s="27">
        <f t="shared" si="21"/>
        <v>0.02919003031685134</v>
      </c>
      <c r="W71" s="27">
        <f t="shared" si="21"/>
        <v>0.030437399043486524</v>
      </c>
      <c r="X71" s="27">
        <f t="shared" si="21"/>
        <v>0.03424591584555638</v>
      </c>
      <c r="Y71" s="27">
        <f t="shared" si="21"/>
        <v>0.02462418893322049</v>
      </c>
      <c r="Z71" s="27">
        <f t="shared" si="21"/>
        <v>0.023064250411861616</v>
      </c>
      <c r="AA71" s="27">
        <f t="shared" si="21"/>
        <v>0.02981406628940986</v>
      </c>
      <c r="AB71" s="27">
        <f t="shared" si="21"/>
        <v>0.040193747639256115</v>
      </c>
      <c r="AC71" s="27">
        <f t="shared" si="21"/>
        <v>0.03993761345912915</v>
      </c>
      <c r="AD71" s="27">
        <f t="shared" si="21"/>
        <v>0.037325384820713584</v>
      </c>
      <c r="AE71" s="27">
        <f t="shared" si="20"/>
        <v>0.035016920608188624</v>
      </c>
      <c r="AF71" s="27">
        <f t="shared" si="20"/>
        <v>0.027451330594749062</v>
      </c>
      <c r="AG71" s="27">
        <f t="shared" si="17"/>
        <v>0.023522736065616053</v>
      </c>
      <c r="AH71" s="27">
        <f t="shared" si="17"/>
        <v>0.01685774261262716</v>
      </c>
      <c r="AI71" s="27">
        <f t="shared" si="18"/>
        <v>0.00910796417332365</v>
      </c>
      <c r="AJ71" s="27">
        <f t="shared" si="18"/>
        <v>0.008940807935782811</v>
      </c>
    </row>
    <row r="72" spans="2:36" ht="12.75">
      <c r="B72" s="18" t="s">
        <v>43</v>
      </c>
      <c r="C72" s="19" t="s">
        <v>113</v>
      </c>
      <c r="D72" s="27">
        <f t="shared" si="21"/>
        <v>0.012930068013652558</v>
      </c>
      <c r="E72" s="27">
        <f t="shared" si="21"/>
        <v>0.013669383907281096</v>
      </c>
      <c r="F72" s="27">
        <f t="shared" si="21"/>
        <v>0.011596928381131483</v>
      </c>
      <c r="G72" s="27">
        <f t="shared" si="21"/>
        <v>0.010343790718652901</v>
      </c>
      <c r="H72" s="27">
        <f t="shared" si="21"/>
        <v>0.007285974499089253</v>
      </c>
      <c r="I72" s="27">
        <f t="shared" si="21"/>
        <v>0.010448435558567717</v>
      </c>
      <c r="J72" s="27">
        <f t="shared" si="21"/>
        <v>0.012246275492984909</v>
      </c>
      <c r="K72" s="27">
        <f t="shared" si="21"/>
        <v>0.014955134596211365</v>
      </c>
      <c r="L72" s="27">
        <f t="shared" si="21"/>
        <v>0.013518873537383486</v>
      </c>
      <c r="M72" s="27">
        <f t="shared" si="21"/>
        <v>0.017756847835479133</v>
      </c>
      <c r="N72" s="27">
        <f t="shared" si="21"/>
        <v>0.024238566252081088</v>
      </c>
      <c r="O72" s="27">
        <f t="shared" si="21"/>
        <v>0.01590661478599222</v>
      </c>
      <c r="P72" s="27">
        <f t="shared" si="21"/>
        <v>0.013978222334768297</v>
      </c>
      <c r="Q72" s="27">
        <f t="shared" si="21"/>
        <v>0.01525072993735295</v>
      </c>
      <c r="R72" s="27">
        <f t="shared" si="21"/>
        <v>0.010550512790286456</v>
      </c>
      <c r="S72" s="27">
        <f t="shared" si="21"/>
        <v>0.013344739093242087</v>
      </c>
      <c r="T72" s="27">
        <f t="shared" si="21"/>
        <v>0.009911401032031935</v>
      </c>
      <c r="U72" s="27">
        <f t="shared" si="21"/>
        <v>0.013134236723238171</v>
      </c>
      <c r="V72" s="27">
        <f t="shared" si="21"/>
        <v>0.011643817240361657</v>
      </c>
      <c r="W72" s="27">
        <f t="shared" si="21"/>
        <v>0.017229911633357617</v>
      </c>
      <c r="X72" s="27">
        <f t="shared" si="21"/>
        <v>0.015116988156754501</v>
      </c>
      <c r="Y72" s="27">
        <f t="shared" si="21"/>
        <v>0.016886309595776406</v>
      </c>
      <c r="Z72" s="27">
        <f t="shared" si="21"/>
        <v>0.020222405271828666</v>
      </c>
      <c r="AA72" s="27">
        <f t="shared" si="21"/>
        <v>0.018011317704122877</v>
      </c>
      <c r="AB72" s="27">
        <f t="shared" si="21"/>
        <v>0.01315350945408492</v>
      </c>
      <c r="AC72" s="27">
        <f t="shared" si="21"/>
        <v>0.014088108204852855</v>
      </c>
      <c r="AD72" s="27">
        <f t="shared" si="21"/>
        <v>0.011233205801227867</v>
      </c>
      <c r="AE72" s="27">
        <f t="shared" si="20"/>
        <v>0.01104208703388888</v>
      </c>
      <c r="AF72" s="27">
        <f t="shared" si="20"/>
        <v>0.009894624040007145</v>
      </c>
      <c r="AG72" s="27">
        <f t="shared" si="17"/>
        <v>0.012380387402955818</v>
      </c>
      <c r="AH72" s="27">
        <f t="shared" si="17"/>
        <v>0.014338769578556435</v>
      </c>
      <c r="AI72" s="27">
        <f t="shared" si="18"/>
        <v>0.015311062696683612</v>
      </c>
      <c r="AJ72" s="27">
        <f t="shared" si="18"/>
        <v>0.01657638843568492</v>
      </c>
    </row>
    <row r="73" spans="2:36" ht="12.75">
      <c r="B73" s="18" t="s">
        <v>44</v>
      </c>
      <c r="C73" s="19" t="s">
        <v>113</v>
      </c>
      <c r="D73" s="27">
        <f t="shared" si="21"/>
        <v>0.015496150875706919</v>
      </c>
      <c r="E73" s="27">
        <f t="shared" si="21"/>
        <v>0.015859812565851495</v>
      </c>
      <c r="F73" s="27">
        <f t="shared" si="21"/>
        <v>0.016164058477175544</v>
      </c>
      <c r="G73" s="27">
        <f t="shared" si="21"/>
        <v>0.01836223313621329</v>
      </c>
      <c r="H73" s="27">
        <f t="shared" si="21"/>
        <v>0.016763915902565527</v>
      </c>
      <c r="I73" s="27">
        <f t="shared" si="21"/>
        <v>0.01988026657630182</v>
      </c>
      <c r="J73" s="27">
        <f t="shared" si="21"/>
        <v>0.01663372064992045</v>
      </c>
      <c r="K73" s="27">
        <f t="shared" si="21"/>
        <v>0.01788384845463609</v>
      </c>
      <c r="L73" s="27">
        <f t="shared" si="21"/>
        <v>0.014212996628544985</v>
      </c>
      <c r="M73" s="27">
        <f t="shared" si="21"/>
        <v>0.011319450445001296</v>
      </c>
      <c r="N73" s="27">
        <f t="shared" si="21"/>
        <v>0.01263343453138772</v>
      </c>
      <c r="O73" s="27">
        <f t="shared" si="21"/>
        <v>0.01466147859922179</v>
      </c>
      <c r="P73" s="27">
        <f t="shared" si="21"/>
        <v>0.014054190934413775</v>
      </c>
      <c r="Q73" s="27">
        <f t="shared" si="21"/>
        <v>0.01377668169061995</v>
      </c>
      <c r="R73" s="27">
        <f t="shared" si="21"/>
        <v>0.014224527486345239</v>
      </c>
      <c r="S73" s="27">
        <f t="shared" si="21"/>
        <v>0.019717707442258342</v>
      </c>
      <c r="T73" s="27">
        <f t="shared" si="21"/>
        <v>0.015052088404244962</v>
      </c>
      <c r="U73" s="27">
        <f t="shared" si="21"/>
        <v>0.01769504012629917</v>
      </c>
      <c r="V73" s="27">
        <f t="shared" si="21"/>
        <v>0.015185254742038473</v>
      </c>
      <c r="W73" s="27">
        <f t="shared" si="21"/>
        <v>0.01653311373642036</v>
      </c>
      <c r="X73" s="27">
        <f t="shared" si="21"/>
        <v>0.016240331225727767</v>
      </c>
      <c r="Y73" s="27">
        <f t="shared" si="21"/>
        <v>0.011405311731753517</v>
      </c>
      <c r="Z73" s="27">
        <f t="shared" si="21"/>
        <v>0.01272652388797364</v>
      </c>
      <c r="AA73" s="27">
        <f t="shared" si="21"/>
        <v>0.014874696847210994</v>
      </c>
      <c r="AB73" s="27">
        <f t="shared" si="21"/>
        <v>0.017997200435487814</v>
      </c>
      <c r="AC73" s="27">
        <f t="shared" si="21"/>
        <v>0.02004551149293038</v>
      </c>
      <c r="AD73" s="27">
        <f t="shared" si="21"/>
        <v>0.018106593113266303</v>
      </c>
      <c r="AE73" s="27">
        <f t="shared" si="20"/>
        <v>0.02275146565831493</v>
      </c>
      <c r="AF73" s="27">
        <f t="shared" si="20"/>
        <v>0.01802107519199857</v>
      </c>
      <c r="AG73" s="27">
        <f t="shared" si="17"/>
        <v>0.01975703489721699</v>
      </c>
      <c r="AH73" s="27">
        <f t="shared" si="17"/>
        <v>0.020571613111577586</v>
      </c>
      <c r="AI73" s="27">
        <f t="shared" si="18"/>
        <v>0.01839748244977003</v>
      </c>
      <c r="AJ73" s="27">
        <f t="shared" si="18"/>
        <v>0.015793251974156496</v>
      </c>
    </row>
    <row r="74" spans="2:36" ht="12.75">
      <c r="B74" s="18" t="s">
        <v>45</v>
      </c>
      <c r="C74" s="19" t="s">
        <v>113</v>
      </c>
      <c r="D74" s="27">
        <f t="shared" si="21"/>
        <v>0.01878472308727173</v>
      </c>
      <c r="E74" s="27">
        <f t="shared" si="21"/>
        <v>0.02384517273886763</v>
      </c>
      <c r="F74" s="27">
        <f t="shared" si="21"/>
        <v>0.023395347795911972</v>
      </c>
      <c r="G74" s="27">
        <f t="shared" si="21"/>
        <v>0.021148641876315526</v>
      </c>
      <c r="H74" s="27">
        <f t="shared" si="21"/>
        <v>0.020175357352350962</v>
      </c>
      <c r="I74" s="27">
        <f t="shared" si="21"/>
        <v>0.02424790089988328</v>
      </c>
      <c r="J74" s="27">
        <f t="shared" si="21"/>
        <v>0.019213152692734197</v>
      </c>
      <c r="K74" s="27">
        <f t="shared" si="21"/>
        <v>0.021124127617148554</v>
      </c>
      <c r="L74" s="27">
        <f t="shared" si="21"/>
        <v>0.014708798836517486</v>
      </c>
      <c r="M74" s="27">
        <f t="shared" si="21"/>
        <v>0.011881102566318155</v>
      </c>
      <c r="N74" s="27">
        <f t="shared" si="21"/>
        <v>0.012045832925276662</v>
      </c>
      <c r="O74" s="27">
        <f t="shared" si="21"/>
        <v>0.015035019455252919</v>
      </c>
      <c r="P74" s="27">
        <f aca="true" t="shared" si="22" ref="P74:AD74">P46/P$49</f>
        <v>0.019675867308179287</v>
      </c>
      <c r="Q74" s="27">
        <f t="shared" si="22"/>
        <v>0.01771692604246393</v>
      </c>
      <c r="R74" s="27">
        <f t="shared" si="22"/>
        <v>0.01652324256355849</v>
      </c>
      <c r="S74" s="27">
        <f t="shared" si="22"/>
        <v>0.01978186484174508</v>
      </c>
      <c r="T74" s="27">
        <f t="shared" si="22"/>
        <v>0.019511245253626717</v>
      </c>
      <c r="U74" s="27">
        <f t="shared" si="22"/>
        <v>0.019558829978511598</v>
      </c>
      <c r="V74" s="27">
        <f t="shared" si="22"/>
        <v>0.01695597349287688</v>
      </c>
      <c r="W74" s="27">
        <f t="shared" si="22"/>
        <v>0.015804643207804135</v>
      </c>
      <c r="X74" s="27">
        <f t="shared" si="22"/>
        <v>0.014122027152806752</v>
      </c>
      <c r="Y74" s="27">
        <f t="shared" si="22"/>
        <v>0.009632047716922582</v>
      </c>
      <c r="Z74" s="27">
        <f t="shared" si="22"/>
        <v>0.011820428336079077</v>
      </c>
      <c r="AA74" s="27">
        <f t="shared" si="22"/>
        <v>0.016814874696847212</v>
      </c>
      <c r="AB74" s="27">
        <f t="shared" si="22"/>
        <v>0.019463638989490523</v>
      </c>
      <c r="AC74" s="27">
        <f t="shared" si="22"/>
        <v>0.020377898800848865</v>
      </c>
      <c r="AD74" s="27">
        <f t="shared" si="22"/>
        <v>0.019641427173236053</v>
      </c>
      <c r="AE74" s="27">
        <f aca="true" t="shared" si="23" ref="AE74:AF79">AE46/AE$49</f>
        <v>0.022306604597956817</v>
      </c>
      <c r="AF74" s="27">
        <f t="shared" si="23"/>
        <v>0.02109305233077335</v>
      </c>
      <c r="AG74" s="27">
        <f t="shared" si="17"/>
        <v>0.019731242423460835</v>
      </c>
      <c r="AH74" s="27">
        <f t="shared" si="17"/>
        <v>0.020539318585499757</v>
      </c>
      <c r="AI74" s="27">
        <f t="shared" si="18"/>
        <v>0.01546235778261922</v>
      </c>
      <c r="AJ74" s="27">
        <f t="shared" si="18"/>
        <v>0.015760621288259478</v>
      </c>
    </row>
    <row r="75" spans="2:36" ht="12.75">
      <c r="B75" s="18" t="s">
        <v>46</v>
      </c>
      <c r="C75" s="19" t="s">
        <v>113</v>
      </c>
      <c r="D75" s="27">
        <f aca="true" t="shared" si="24" ref="D75:AD79">D47/D$49</f>
        <v>0.038541069782505794</v>
      </c>
      <c r="E75" s="27">
        <f t="shared" si="24"/>
        <v>0.0398713469749903</v>
      </c>
      <c r="F75" s="27">
        <f t="shared" si="24"/>
        <v>0.03767882329236349</v>
      </c>
      <c r="G75" s="27">
        <f t="shared" si="24"/>
        <v>0.03562193044001203</v>
      </c>
      <c r="H75" s="27">
        <f t="shared" si="24"/>
        <v>0.03056404556821339</v>
      </c>
      <c r="I75" s="27">
        <f t="shared" si="24"/>
        <v>0.03529876877894499</v>
      </c>
      <c r="J75" s="27">
        <f t="shared" si="24"/>
        <v>0.037678993298298054</v>
      </c>
      <c r="K75" s="27">
        <f t="shared" si="24"/>
        <v>0.042996011964107676</v>
      </c>
      <c r="L75" s="27">
        <f t="shared" si="24"/>
        <v>0.04270509684669796</v>
      </c>
      <c r="M75" s="27">
        <f t="shared" si="24"/>
        <v>0.05305452345977707</v>
      </c>
      <c r="N75" s="27">
        <f t="shared" si="24"/>
        <v>0.057878758201939086</v>
      </c>
      <c r="O75" s="27">
        <f t="shared" si="24"/>
        <v>0.04582101167315175</v>
      </c>
      <c r="P75" s="27">
        <f t="shared" si="24"/>
        <v>0.04132691820714105</v>
      </c>
      <c r="Q75" s="27">
        <f t="shared" si="24"/>
        <v>0.03965756725345126</v>
      </c>
      <c r="R75" s="27">
        <f t="shared" si="24"/>
        <v>0.03660261699870329</v>
      </c>
      <c r="S75" s="27">
        <f t="shared" si="24"/>
        <v>0.03907185628742515</v>
      </c>
      <c r="T75" s="27">
        <f t="shared" si="24"/>
        <v>0.034835945867004184</v>
      </c>
      <c r="U75" s="27">
        <f t="shared" si="24"/>
        <v>0.03674955049774153</v>
      </c>
      <c r="V75" s="27">
        <f t="shared" si="24"/>
        <v>0.03420706677756016</v>
      </c>
      <c r="W75" s="27">
        <f t="shared" si="24"/>
        <v>0.04450004750894752</v>
      </c>
      <c r="X75" s="27">
        <f t="shared" si="24"/>
        <v>0.04470905414513592</v>
      </c>
      <c r="Y75" s="27">
        <f t="shared" si="24"/>
        <v>0.0525127957119252</v>
      </c>
      <c r="Z75" s="27">
        <f t="shared" si="24"/>
        <v>0.05485996705107084</v>
      </c>
      <c r="AA75" s="27">
        <f t="shared" si="24"/>
        <v>0.04837510105092967</v>
      </c>
      <c r="AB75" s="27">
        <f t="shared" si="24"/>
        <v>0.040771435554469306</v>
      </c>
      <c r="AC75" s="27">
        <f t="shared" si="24"/>
        <v>0.04221318810564803</v>
      </c>
      <c r="AD75" s="27">
        <f t="shared" si="24"/>
        <v>0.03516771954800249</v>
      </c>
      <c r="AE75" s="27">
        <f t="shared" si="23"/>
        <v>0.03547766956355952</v>
      </c>
      <c r="AF75" s="27">
        <f t="shared" si="23"/>
        <v>0.033380960885872474</v>
      </c>
      <c r="AG75" s="27">
        <f t="shared" si="17"/>
        <v>0.04046839132341183</v>
      </c>
      <c r="AH75" s="27">
        <f t="shared" si="17"/>
        <v>0.04291942515743581</v>
      </c>
      <c r="AI75" s="27">
        <f t="shared" si="18"/>
        <v>0.04209029290728637</v>
      </c>
      <c r="AJ75" s="27">
        <f t="shared" si="18"/>
        <v>0.04522613065326633</v>
      </c>
    </row>
    <row r="76" spans="2:36" ht="13.5" thickBot="1">
      <c r="B76" s="20" t="s">
        <v>47</v>
      </c>
      <c r="C76" s="21" t="s">
        <v>113</v>
      </c>
      <c r="D76" s="28">
        <f t="shared" si="24"/>
        <v>0.019980567527840755</v>
      </c>
      <c r="E76" s="28">
        <f t="shared" si="24"/>
        <v>0.01938113458659125</v>
      </c>
      <c r="F76" s="28">
        <f t="shared" si="24"/>
        <v>0.012984977724046835</v>
      </c>
      <c r="G76" s="28">
        <f t="shared" si="24"/>
        <v>0.01280946176205272</v>
      </c>
      <c r="H76" s="28">
        <f t="shared" si="24"/>
        <v>0.007517520298848446</v>
      </c>
      <c r="I76" s="28">
        <f t="shared" si="24"/>
        <v>0.012010994389849015</v>
      </c>
      <c r="J76" s="28">
        <f t="shared" si="24"/>
        <v>0.014849814377320284</v>
      </c>
      <c r="K76" s="28">
        <f t="shared" si="24"/>
        <v>0.020127118644067795</v>
      </c>
      <c r="L76" s="28">
        <f t="shared" si="24"/>
        <v>0.024294308190652477</v>
      </c>
      <c r="M76" s="28">
        <f t="shared" si="24"/>
        <v>0.03400155534433595</v>
      </c>
      <c r="N76" s="28">
        <f t="shared" si="24"/>
        <v>0.033933992752913526</v>
      </c>
      <c r="O76" s="28">
        <f t="shared" si="24"/>
        <v>0.025027237354085602</v>
      </c>
      <c r="P76" s="28">
        <f t="shared" si="24"/>
        <v>0.015649531526968852</v>
      </c>
      <c r="Q76" s="28">
        <f t="shared" si="24"/>
        <v>0.016809819429089774</v>
      </c>
      <c r="R76" s="28">
        <f t="shared" si="24"/>
        <v>0.010570159927698535</v>
      </c>
      <c r="S76" s="28">
        <f t="shared" si="24"/>
        <v>0.010607356715141146</v>
      </c>
      <c r="T76" s="28">
        <f t="shared" si="24"/>
        <v>0.010086651737902833</v>
      </c>
      <c r="U76" s="28">
        <f t="shared" si="24"/>
        <v>0.014033241240187695</v>
      </c>
      <c r="V76" s="28">
        <f t="shared" si="24"/>
        <v>0.015077938454108873</v>
      </c>
      <c r="W76" s="28">
        <f t="shared" si="24"/>
        <v>0.01935197795584835</v>
      </c>
      <c r="X76" s="28">
        <f t="shared" si="24"/>
        <v>0.023140867220849248</v>
      </c>
      <c r="Y76" s="28">
        <f t="shared" si="24"/>
        <v>0.03461894974408576</v>
      </c>
      <c r="Z76" s="28">
        <f t="shared" si="24"/>
        <v>0.03447281713344316</v>
      </c>
      <c r="AA76" s="28">
        <f t="shared" si="24"/>
        <v>0.025416329830234438</v>
      </c>
      <c r="AB76" s="28">
        <f t="shared" si="24"/>
        <v>0.0165307618814851</v>
      </c>
      <c r="AC76" s="28">
        <f t="shared" si="24"/>
        <v>0.016593797141469153</v>
      </c>
      <c r="AD76" s="28">
        <f t="shared" si="24"/>
        <v>0.01156686537948216</v>
      </c>
      <c r="AE76" s="28">
        <f t="shared" si="23"/>
        <v>0.008738342257034366</v>
      </c>
      <c r="AF76" s="28">
        <f t="shared" si="23"/>
        <v>0.008197892480800143</v>
      </c>
      <c r="AG76" s="28">
        <f t="shared" si="17"/>
        <v>0.013824765933300663</v>
      </c>
      <c r="AH76" s="28">
        <f t="shared" si="17"/>
        <v>0.017116098821249797</v>
      </c>
      <c r="AI76" s="28">
        <f t="shared" si="18"/>
        <v>0.015916243040426048</v>
      </c>
      <c r="AJ76" s="28">
        <f t="shared" si="18"/>
        <v>0.021568883377928606</v>
      </c>
    </row>
    <row r="77" spans="2:36" ht="13.5" thickTop="1">
      <c r="B77" s="22" t="s">
        <v>64</v>
      </c>
      <c r="C77" s="23" t="s">
        <v>113</v>
      </c>
      <c r="D77" s="29">
        <f t="shared" si="24"/>
        <v>1</v>
      </c>
      <c r="E77" s="29">
        <f t="shared" si="24"/>
        <v>1</v>
      </c>
      <c r="F77" s="29">
        <f t="shared" si="24"/>
        <v>1</v>
      </c>
      <c r="G77" s="29">
        <f t="shared" si="24"/>
        <v>1</v>
      </c>
      <c r="H77" s="29">
        <f t="shared" si="24"/>
        <v>1</v>
      </c>
      <c r="I77" s="29">
        <f t="shared" si="24"/>
        <v>1</v>
      </c>
      <c r="J77" s="29">
        <f t="shared" si="24"/>
        <v>1</v>
      </c>
      <c r="K77" s="29">
        <f t="shared" si="24"/>
        <v>1</v>
      </c>
      <c r="L77" s="29">
        <f t="shared" si="24"/>
        <v>1</v>
      </c>
      <c r="M77" s="29">
        <f t="shared" si="24"/>
        <v>1</v>
      </c>
      <c r="N77" s="29">
        <f t="shared" si="24"/>
        <v>1</v>
      </c>
      <c r="O77" s="29">
        <f t="shared" si="24"/>
        <v>1</v>
      </c>
      <c r="P77" s="29">
        <f t="shared" si="24"/>
        <v>1</v>
      </c>
      <c r="Q77" s="29">
        <f t="shared" si="24"/>
        <v>1</v>
      </c>
      <c r="R77" s="29">
        <f t="shared" si="24"/>
        <v>1</v>
      </c>
      <c r="S77" s="29">
        <f t="shared" si="24"/>
        <v>1</v>
      </c>
      <c r="T77" s="29">
        <f t="shared" si="24"/>
        <v>1</v>
      </c>
      <c r="U77" s="29">
        <f t="shared" si="24"/>
        <v>1</v>
      </c>
      <c r="V77" s="29">
        <f t="shared" si="24"/>
        <v>1</v>
      </c>
      <c r="W77" s="29">
        <f t="shared" si="24"/>
        <v>1</v>
      </c>
      <c r="X77" s="29">
        <f t="shared" si="24"/>
        <v>1</v>
      </c>
      <c r="Y77" s="29">
        <f t="shared" si="24"/>
        <v>1</v>
      </c>
      <c r="Z77" s="29">
        <f t="shared" si="24"/>
        <v>1</v>
      </c>
      <c r="AA77" s="29">
        <f t="shared" si="24"/>
        <v>1</v>
      </c>
      <c r="AB77" s="29">
        <f t="shared" si="24"/>
        <v>1</v>
      </c>
      <c r="AC77" s="29">
        <f t="shared" si="24"/>
        <v>1</v>
      </c>
      <c r="AD77" s="29">
        <f t="shared" si="24"/>
        <v>1</v>
      </c>
      <c r="AE77" s="29">
        <f t="shared" si="23"/>
        <v>1</v>
      </c>
      <c r="AF77" s="29">
        <f t="shared" si="23"/>
        <v>1</v>
      </c>
      <c r="AG77" s="29">
        <f t="shared" si="17"/>
        <v>1</v>
      </c>
      <c r="AH77" s="29">
        <f t="shared" si="17"/>
        <v>1</v>
      </c>
      <c r="AI77" s="29">
        <f t="shared" si="18"/>
        <v>1</v>
      </c>
      <c r="AJ77" s="29">
        <f t="shared" si="18"/>
        <v>1</v>
      </c>
    </row>
    <row r="78" spans="2:36" ht="12.75">
      <c r="B78" s="25" t="s">
        <v>65</v>
      </c>
      <c r="C78" s="19" t="s">
        <v>113</v>
      </c>
      <c r="D78" s="27">
        <f t="shared" si="24"/>
        <v>0.28104835695956554</v>
      </c>
      <c r="E78" s="27">
        <f t="shared" si="24"/>
        <v>0.2845061831087451</v>
      </c>
      <c r="F78" s="27">
        <f t="shared" si="24"/>
        <v>0.2773188259789106</v>
      </c>
      <c r="G78" s="27">
        <f t="shared" si="24"/>
        <v>0.27457151448331163</v>
      </c>
      <c r="H78" s="27">
        <f t="shared" si="24"/>
        <v>0.2730696798493409</v>
      </c>
      <c r="I78" s="27">
        <f t="shared" si="24"/>
        <v>0.2774200835874845</v>
      </c>
      <c r="J78" s="27">
        <f t="shared" si="24"/>
        <v>0.28839014512318595</v>
      </c>
      <c r="K78" s="27">
        <f t="shared" si="24"/>
        <v>0.3004112662013958</v>
      </c>
      <c r="L78" s="27">
        <f t="shared" si="24"/>
        <v>0.3233291465591327</v>
      </c>
      <c r="M78" s="27">
        <f t="shared" si="24"/>
        <v>0.35003888360839885</v>
      </c>
      <c r="N78" s="27">
        <f t="shared" si="24"/>
        <v>0.35545000489668005</v>
      </c>
      <c r="O78" s="27">
        <f t="shared" si="24"/>
        <v>0.32233463035019455</v>
      </c>
      <c r="P78" s="27">
        <f t="shared" si="24"/>
        <v>0.3053937705748291</v>
      </c>
      <c r="Q78" s="27">
        <f t="shared" si="24"/>
        <v>0.340363409586983</v>
      </c>
      <c r="R78" s="27">
        <f t="shared" si="24"/>
        <v>0.3311721482180046</v>
      </c>
      <c r="S78" s="27">
        <f t="shared" si="24"/>
        <v>0.31593242087254064</v>
      </c>
      <c r="T78" s="27">
        <f t="shared" si="24"/>
        <v>0.32123454386135725</v>
      </c>
      <c r="U78" s="27">
        <f t="shared" si="24"/>
        <v>0.3232469411919484</v>
      </c>
      <c r="V78" s="27">
        <f t="shared" si="24"/>
        <v>0.33973653851313285</v>
      </c>
      <c r="W78" s="27">
        <f t="shared" si="24"/>
        <v>0.34561175688087925</v>
      </c>
      <c r="X78" s="27">
        <f t="shared" si="24"/>
        <v>0.3523445774625285</v>
      </c>
      <c r="Y78" s="27">
        <f t="shared" si="24"/>
        <v>0.36895981944948214</v>
      </c>
      <c r="Z78" s="27">
        <f t="shared" si="24"/>
        <v>0.36548599670510706</v>
      </c>
      <c r="AA78" s="27">
        <f t="shared" si="24"/>
        <v>0.3481649151172191</v>
      </c>
      <c r="AB78" s="27">
        <f t="shared" si="24"/>
        <v>0.32752682915990844</v>
      </c>
      <c r="AC78" s="27">
        <f t="shared" si="24"/>
        <v>0.3265833141571425</v>
      </c>
      <c r="AD78" s="27">
        <f t="shared" si="24"/>
        <v>0.32949995551205624</v>
      </c>
      <c r="AE78" s="27">
        <f t="shared" si="23"/>
        <v>0.36496083633879345</v>
      </c>
      <c r="AF78" s="27">
        <f t="shared" si="23"/>
        <v>0.4124486515449187</v>
      </c>
      <c r="AG78" s="27">
        <f t="shared" si="17"/>
        <v>0.4388331484872714</v>
      </c>
      <c r="AH78" s="27">
        <f t="shared" si="17"/>
        <v>0.4546100435976102</v>
      </c>
      <c r="AI78" s="27">
        <f t="shared" si="18"/>
        <v>0.47170781893004116</v>
      </c>
      <c r="AJ78" s="27">
        <f t="shared" si="18"/>
        <v>0.4658030411799256</v>
      </c>
    </row>
    <row r="79" spans="2:36" ht="12.75">
      <c r="B79" s="25" t="s">
        <v>66</v>
      </c>
      <c r="C79" s="19" t="s">
        <v>113</v>
      </c>
      <c r="D79" s="27">
        <f t="shared" si="24"/>
        <v>0.7189516430404345</v>
      </c>
      <c r="E79" s="27">
        <f t="shared" si="24"/>
        <v>0.7154938168912549</v>
      </c>
      <c r="F79" s="27">
        <f t="shared" si="24"/>
        <v>0.7226811740210894</v>
      </c>
      <c r="G79" s="27">
        <f t="shared" si="24"/>
        <v>0.7254284855166884</v>
      </c>
      <c r="H79" s="27">
        <f t="shared" si="24"/>
        <v>0.7269303201506592</v>
      </c>
      <c r="I79" s="27">
        <f t="shared" si="24"/>
        <v>0.7225799164125155</v>
      </c>
      <c r="J79" s="27">
        <f t="shared" si="24"/>
        <v>0.711609854876814</v>
      </c>
      <c r="K79" s="27">
        <f t="shared" si="24"/>
        <v>0.6995887337986042</v>
      </c>
      <c r="L79" s="27">
        <f t="shared" si="24"/>
        <v>0.6766708534408673</v>
      </c>
      <c r="M79" s="27">
        <f t="shared" si="24"/>
        <v>0.6499611163916011</v>
      </c>
      <c r="N79" s="27">
        <f t="shared" si="24"/>
        <v>0.6445499951033199</v>
      </c>
      <c r="O79" s="27">
        <f t="shared" si="24"/>
        <v>0.6776653696498054</v>
      </c>
      <c r="P79" s="27">
        <f t="shared" si="24"/>
        <v>0.6946062294251709</v>
      </c>
      <c r="Q79" s="27">
        <f t="shared" si="24"/>
        <v>0.659636590413017</v>
      </c>
      <c r="R79" s="27">
        <f t="shared" si="24"/>
        <v>0.6688278517819953</v>
      </c>
      <c r="S79" s="27">
        <f t="shared" si="24"/>
        <v>0.6840675791274594</v>
      </c>
      <c r="T79" s="27">
        <f t="shared" si="24"/>
        <v>0.6787654561386428</v>
      </c>
      <c r="U79" s="27">
        <f t="shared" si="24"/>
        <v>0.6767530588080516</v>
      </c>
      <c r="V79" s="27">
        <f t="shared" si="24"/>
        <v>0.6602634614868672</v>
      </c>
      <c r="W79" s="27">
        <f t="shared" si="24"/>
        <v>0.6543882431191208</v>
      </c>
      <c r="X79" s="27">
        <f t="shared" si="24"/>
        <v>0.6476554225374715</v>
      </c>
      <c r="Y79" s="27">
        <f t="shared" si="24"/>
        <v>0.6310401805505179</v>
      </c>
      <c r="Z79" s="27">
        <f t="shared" si="24"/>
        <v>0.6345140032948929</v>
      </c>
      <c r="AA79" s="27">
        <f t="shared" si="24"/>
        <v>0.651835084882781</v>
      </c>
      <c r="AB79" s="27">
        <f t="shared" si="24"/>
        <v>0.6724731708400915</v>
      </c>
      <c r="AC79" s="27">
        <f t="shared" si="24"/>
        <v>0.6734166858428575</v>
      </c>
      <c r="AD79" s="27">
        <f t="shared" si="24"/>
        <v>0.6705000444879438</v>
      </c>
      <c r="AE79" s="27">
        <f t="shared" si="23"/>
        <v>0.6350391636612065</v>
      </c>
      <c r="AF79" s="27">
        <f t="shared" si="23"/>
        <v>0.5875513484550813</v>
      </c>
      <c r="AG79" s="27">
        <f t="shared" si="17"/>
        <v>0.5611668515127286</v>
      </c>
      <c r="AH79" s="27">
        <f t="shared" si="17"/>
        <v>0.5453899564023897</v>
      </c>
      <c r="AI79" s="27">
        <f t="shared" si="18"/>
        <v>0.5282921810699589</v>
      </c>
      <c r="AJ79" s="27">
        <f t="shared" si="18"/>
        <v>0.5341969588200745</v>
      </c>
    </row>
  </sheetData>
  <printOptions/>
  <pageMargins left="0.75" right="0.75" top="1" bottom="1" header="0.4921259845" footer="0.492125984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workbookViewId="0" topLeftCell="A24">
      <selection activeCell="A30" sqref="A30:IV30"/>
    </sheetView>
  </sheetViews>
  <sheetFormatPr defaultColWidth="11.421875" defaultRowHeight="12.75"/>
  <cols>
    <col min="1" max="1" width="42.57421875" style="0" customWidth="1"/>
  </cols>
  <sheetData>
    <row r="1" ht="12.75">
      <c r="A1" s="30" t="s">
        <v>68</v>
      </c>
    </row>
    <row r="2" ht="12.75">
      <c r="A2" s="31" t="s">
        <v>113</v>
      </c>
    </row>
    <row r="3" spans="1:34" ht="13.5" thickBot="1">
      <c r="A3" s="32"/>
      <c r="B3" s="67" t="s">
        <v>80</v>
      </c>
      <c r="C3" s="67" t="s">
        <v>81</v>
      </c>
      <c r="D3" s="67" t="s">
        <v>82</v>
      </c>
      <c r="E3" s="67" t="s">
        <v>83</v>
      </c>
      <c r="F3" s="67" t="s">
        <v>84</v>
      </c>
      <c r="G3" s="67" t="s">
        <v>85</v>
      </c>
      <c r="H3" s="67" t="s">
        <v>86</v>
      </c>
      <c r="I3" s="67" t="s">
        <v>87</v>
      </c>
      <c r="J3" s="67" t="s">
        <v>88</v>
      </c>
      <c r="K3" s="67" t="s">
        <v>89</v>
      </c>
      <c r="L3" s="67" t="s">
        <v>90</v>
      </c>
      <c r="M3" s="67" t="s">
        <v>91</v>
      </c>
      <c r="N3" s="67" t="s">
        <v>92</v>
      </c>
      <c r="O3" s="67" t="s">
        <v>93</v>
      </c>
      <c r="P3" s="67" t="s">
        <v>94</v>
      </c>
      <c r="Q3" s="67" t="s">
        <v>95</v>
      </c>
      <c r="R3" s="67" t="s">
        <v>96</v>
      </c>
      <c r="S3" s="67" t="s">
        <v>97</v>
      </c>
      <c r="T3" s="67" t="s">
        <v>98</v>
      </c>
      <c r="U3" s="67" t="s">
        <v>99</v>
      </c>
      <c r="V3" s="67" t="s">
        <v>100</v>
      </c>
      <c r="W3" s="67" t="s">
        <v>101</v>
      </c>
      <c r="X3" s="67" t="s">
        <v>102</v>
      </c>
      <c r="Y3" s="67" t="s">
        <v>103</v>
      </c>
      <c r="Z3" s="67" t="s">
        <v>104</v>
      </c>
      <c r="AA3" s="67" t="s">
        <v>105</v>
      </c>
      <c r="AB3" s="67" t="s">
        <v>106</v>
      </c>
      <c r="AC3" s="67" t="s">
        <v>107</v>
      </c>
      <c r="AD3" s="67" t="s">
        <v>108</v>
      </c>
      <c r="AE3" s="67" t="s">
        <v>109</v>
      </c>
      <c r="AF3" s="67" t="s">
        <v>110</v>
      </c>
      <c r="AG3" s="67" t="s">
        <v>114</v>
      </c>
      <c r="AH3" s="67" t="s">
        <v>115</v>
      </c>
    </row>
    <row r="4" spans="1:34" ht="13.5" thickTop="1">
      <c r="A4" s="33" t="s">
        <v>26</v>
      </c>
      <c r="B4" s="34">
        <f>'Tableau sortie'!D27</f>
        <v>5824</v>
      </c>
      <c r="C4" s="34">
        <f>'Tableau sortie'!E27</f>
        <v>5339</v>
      </c>
      <c r="D4" s="34">
        <f>'Tableau sortie'!F27</f>
        <v>6442</v>
      </c>
      <c r="E4" s="34">
        <f>'Tableau sortie'!G27</f>
        <v>7188</v>
      </c>
      <c r="F4" s="34">
        <f>'Tableau sortie'!H27</f>
        <v>9678</v>
      </c>
      <c r="G4" s="34">
        <f>'Tableau sortie'!I27</f>
        <v>7404</v>
      </c>
      <c r="H4" s="34">
        <f>'Tableau sortie'!J27</f>
        <v>5683</v>
      </c>
      <c r="I4" s="34">
        <f>'Tableau sortie'!K27</f>
        <v>4617</v>
      </c>
      <c r="J4" s="34">
        <f>'Tableau sortie'!L27</f>
        <v>4765</v>
      </c>
      <c r="K4" s="34">
        <f>'Tableau sortie'!M27</f>
        <v>3749</v>
      </c>
      <c r="L4" s="34">
        <f>'Tableau sortie'!N27</f>
        <v>3242</v>
      </c>
      <c r="M4" s="34">
        <f>'Tableau sortie'!O27</f>
        <v>5200</v>
      </c>
      <c r="N4" s="34">
        <f>'Tableau sortie'!P27</f>
        <v>6318</v>
      </c>
      <c r="O4" s="34">
        <f>'Tableau sortie'!Q27</f>
        <v>6471</v>
      </c>
      <c r="P4" s="34">
        <f>'Tableau sortie'!R27</f>
        <v>9042</v>
      </c>
      <c r="Q4" s="34">
        <f>'Tableau sortie'!S27</f>
        <v>7628</v>
      </c>
      <c r="R4" s="34">
        <f>'Tableau sortie'!T27</f>
        <v>8687</v>
      </c>
      <c r="S4" s="34">
        <f>'Tableau sortie'!U27</f>
        <v>7730</v>
      </c>
      <c r="T4" s="34">
        <f>'Tableau sortie'!V27</f>
        <v>6660</v>
      </c>
      <c r="U4" s="34">
        <f>'Tableau sortie'!W27</f>
        <v>5513</v>
      </c>
      <c r="V4" s="34">
        <f>'Tableau sortie'!X27</f>
        <v>5625</v>
      </c>
      <c r="W4" s="34">
        <f>'Tableau sortie'!Y27</f>
        <v>4384</v>
      </c>
      <c r="X4" s="34">
        <f>'Tableau sortie'!Z27</f>
        <v>3929</v>
      </c>
      <c r="Y4" s="34">
        <f>'Tableau sortie'!AA27</f>
        <v>5606</v>
      </c>
      <c r="Z4" s="34">
        <f>'Tableau sortie'!AB27</f>
        <v>7785</v>
      </c>
      <c r="AA4" s="34">
        <f>'Tableau sortie'!AC27</f>
        <v>6678</v>
      </c>
      <c r="AB4" s="34">
        <f>'Tableau sortie'!AD27</f>
        <v>7873</v>
      </c>
      <c r="AC4" s="34">
        <f>'Tableau sortie'!AE27</f>
        <v>12296</v>
      </c>
      <c r="AD4" s="34">
        <f>'Tableau sortie'!AF27</f>
        <v>13073</v>
      </c>
      <c r="AE4" s="34">
        <f>'Tableau sortie'!AG27</f>
        <v>9548</v>
      </c>
      <c r="AF4" s="34">
        <f>'Tableau sortie'!AH27</f>
        <v>7798</v>
      </c>
      <c r="AG4" s="34">
        <f>'Tableau sortie'!AI27</f>
        <v>8765</v>
      </c>
      <c r="AH4" s="34">
        <f>'Tableau sortie'!AJ27</f>
        <v>8198</v>
      </c>
    </row>
    <row r="5" spans="1:34" ht="12.75">
      <c r="A5" s="33" t="s">
        <v>27</v>
      </c>
      <c r="B5" s="34">
        <f>'Tableau sortie'!D28</f>
        <v>4746</v>
      </c>
      <c r="C5" s="34">
        <f>'Tableau sortie'!E28</f>
        <v>4300</v>
      </c>
      <c r="D5" s="34">
        <f>'Tableau sortie'!F28</f>
        <v>5340</v>
      </c>
      <c r="E5" s="34">
        <f>'Tableau sortie'!G28</f>
        <v>5976</v>
      </c>
      <c r="F5" s="34">
        <f>'Tableau sortie'!H28</f>
        <v>7561</v>
      </c>
      <c r="G5" s="34">
        <f>'Tableau sortie'!I28</f>
        <v>6727</v>
      </c>
      <c r="H5" s="34">
        <f>'Tableau sortie'!J28</f>
        <v>5656</v>
      </c>
      <c r="I5" s="34">
        <f>'Tableau sortie'!K28</f>
        <v>4377</v>
      </c>
      <c r="J5" s="34">
        <f>'Tableau sortie'!L28</f>
        <v>4226</v>
      </c>
      <c r="K5" s="34">
        <f>'Tableau sortie'!M28</f>
        <v>3477</v>
      </c>
      <c r="L5" s="34">
        <f>'Tableau sortie'!N28</f>
        <v>3213</v>
      </c>
      <c r="M5" s="34">
        <f>'Tableau sortie'!O28</f>
        <v>4291</v>
      </c>
      <c r="N5" s="34">
        <f>'Tableau sortie'!P28</f>
        <v>5045</v>
      </c>
      <c r="O5" s="34">
        <f>'Tableau sortie'!Q28</f>
        <v>4810</v>
      </c>
      <c r="P5" s="34">
        <f>'Tableau sortie'!R28</f>
        <v>7090</v>
      </c>
      <c r="Q5" s="34">
        <f>'Tableau sortie'!S28</f>
        <v>6546</v>
      </c>
      <c r="R5" s="34">
        <f>'Tableau sortie'!T28</f>
        <v>7217</v>
      </c>
      <c r="S5" s="34">
        <f>'Tableau sortie'!U28</f>
        <v>6254</v>
      </c>
      <c r="T5" s="34">
        <f>'Tableau sortie'!V28</f>
        <v>5384</v>
      </c>
      <c r="U5" s="34">
        <f>'Tableau sortie'!W28</f>
        <v>4660</v>
      </c>
      <c r="V5" s="34">
        <f>'Tableau sortie'!X28</f>
        <v>4481</v>
      </c>
      <c r="W5" s="34">
        <f>'Tableau sortie'!Y28</f>
        <v>3816</v>
      </c>
      <c r="X5" s="34">
        <f>'Tableau sortie'!Z28</f>
        <v>4040</v>
      </c>
      <c r="Y5" s="34">
        <f>'Tableau sortie'!AA28</f>
        <v>4321</v>
      </c>
      <c r="Z5" s="34">
        <f>'Tableau sortie'!AB28</f>
        <v>6131</v>
      </c>
      <c r="AA5" s="34">
        <f>'Tableau sortie'!AC28</f>
        <v>5422</v>
      </c>
      <c r="AB5" s="34">
        <f>'Tableau sortie'!AD28</f>
        <v>6312</v>
      </c>
      <c r="AC5" s="34">
        <f>'Tableau sortie'!AE28</f>
        <v>10031</v>
      </c>
      <c r="AD5" s="34">
        <f>'Tableau sortie'!AF28</f>
        <v>9510</v>
      </c>
      <c r="AE5" s="34">
        <f>'Tableau sortie'!AG28</f>
        <v>6797</v>
      </c>
      <c r="AF5" s="34">
        <f>'Tableau sortie'!AH28</f>
        <v>5715</v>
      </c>
      <c r="AG5" s="34">
        <f>'Tableau sortie'!AI28</f>
        <v>6054</v>
      </c>
      <c r="AH5" s="34">
        <f>'Tableau sortie'!AJ28</f>
        <v>5247</v>
      </c>
    </row>
    <row r="6" spans="1:34" ht="12.75">
      <c r="A6" s="33" t="s">
        <v>30</v>
      </c>
      <c r="B6" s="34">
        <f>'Tableau sortie'!D31</f>
        <v>377</v>
      </c>
      <c r="C6" s="34">
        <f>'Tableau sortie'!E31</f>
        <v>358</v>
      </c>
      <c r="D6" s="34">
        <f>'Tableau sortie'!F31</f>
        <v>410</v>
      </c>
      <c r="E6" s="34">
        <f>'Tableau sortie'!G31</f>
        <v>554</v>
      </c>
      <c r="F6" s="34">
        <f>'Tableau sortie'!H31</f>
        <v>653</v>
      </c>
      <c r="G6" s="34">
        <f>'Tableau sortie'!I31</f>
        <v>451</v>
      </c>
      <c r="H6" s="34">
        <f>'Tableau sortie'!J31</f>
        <v>330</v>
      </c>
      <c r="I6" s="34">
        <f>'Tableau sortie'!K31</f>
        <v>222</v>
      </c>
      <c r="J6" s="34">
        <f>'Tableau sortie'!L31</f>
        <v>204</v>
      </c>
      <c r="K6" s="34">
        <f>'Tableau sortie'!M31</f>
        <v>130</v>
      </c>
      <c r="L6" s="34">
        <f>'Tableau sortie'!N31</f>
        <v>146</v>
      </c>
      <c r="M6" s="34">
        <f>'Tableau sortie'!O31</f>
        <v>279</v>
      </c>
      <c r="N6" s="34">
        <f>'Tableau sortie'!P31</f>
        <v>317</v>
      </c>
      <c r="O6" s="34">
        <f>'Tableau sortie'!Q31</f>
        <v>285</v>
      </c>
      <c r="P6" s="34">
        <f>'Tableau sortie'!R31</f>
        <v>506</v>
      </c>
      <c r="Q6" s="34">
        <f>'Tableau sortie'!S31</f>
        <v>406</v>
      </c>
      <c r="R6" s="34">
        <f>'Tableau sortie'!T31</f>
        <v>552</v>
      </c>
      <c r="S6" s="34">
        <f>'Tableau sortie'!U31</f>
        <v>420</v>
      </c>
      <c r="T6" s="34">
        <f>'Tableau sortie'!V31</f>
        <v>285</v>
      </c>
      <c r="U6" s="34">
        <f>'Tableau sortie'!W31</f>
        <v>233</v>
      </c>
      <c r="V6" s="34">
        <f>'Tableau sortie'!X31</f>
        <v>223</v>
      </c>
      <c r="W6" s="34">
        <f>'Tableau sortie'!Y31</f>
        <v>185</v>
      </c>
      <c r="X6" s="34">
        <f>'Tableau sortie'!Z31</f>
        <v>196</v>
      </c>
      <c r="Y6" s="34">
        <f>'Tableau sortie'!AA31</f>
        <v>217</v>
      </c>
      <c r="Z6" s="34">
        <f>'Tableau sortie'!AB31</f>
        <v>362</v>
      </c>
      <c r="AA6" s="34">
        <f>'Tableau sortie'!AC31</f>
        <v>317</v>
      </c>
      <c r="AB6" s="34">
        <f>'Tableau sortie'!AD31</f>
        <v>408</v>
      </c>
      <c r="AC6" s="34">
        <f>'Tableau sortie'!AE31</f>
        <v>560</v>
      </c>
      <c r="AD6" s="34">
        <f>'Tableau sortie'!AF31</f>
        <v>430</v>
      </c>
      <c r="AE6" s="34">
        <f>'Tableau sortie'!AG31</f>
        <v>300</v>
      </c>
      <c r="AF6" s="34">
        <f>'Tableau sortie'!AH31</f>
        <v>153</v>
      </c>
      <c r="AG6" s="34">
        <f>'Tableau sortie'!AI31</f>
        <v>195</v>
      </c>
      <c r="AH6" s="34">
        <f>'Tableau sortie'!AJ31</f>
        <v>184</v>
      </c>
    </row>
    <row r="7" spans="1:34" ht="12.75">
      <c r="A7" s="33" t="s">
        <v>31</v>
      </c>
      <c r="B7" s="34">
        <f>'Tableau sortie'!D32</f>
        <v>474</v>
      </c>
      <c r="C7" s="34">
        <f>'Tableau sortie'!E32</f>
        <v>416</v>
      </c>
      <c r="D7" s="34">
        <f>'Tableau sortie'!F32</f>
        <v>452</v>
      </c>
      <c r="E7" s="34">
        <f>'Tableau sortie'!G32</f>
        <v>592</v>
      </c>
      <c r="F7" s="34">
        <f>'Tableau sortie'!H32</f>
        <v>779</v>
      </c>
      <c r="G7" s="34">
        <f>'Tableau sortie'!I32</f>
        <v>523</v>
      </c>
      <c r="H7" s="34">
        <f>'Tableau sortie'!J32</f>
        <v>429</v>
      </c>
      <c r="I7" s="34">
        <f>'Tableau sortie'!K32</f>
        <v>280</v>
      </c>
      <c r="J7" s="34">
        <f>'Tableau sortie'!L32</f>
        <v>257</v>
      </c>
      <c r="K7" s="34">
        <f>'Tableau sortie'!M32</f>
        <v>179</v>
      </c>
      <c r="L7" s="34">
        <f>'Tableau sortie'!N32</f>
        <v>130</v>
      </c>
      <c r="M7" s="34">
        <f>'Tableau sortie'!O32</f>
        <v>272</v>
      </c>
      <c r="N7" s="34">
        <f>'Tableau sortie'!P32</f>
        <v>408</v>
      </c>
      <c r="O7" s="34">
        <f>'Tableau sortie'!Q32</f>
        <v>343</v>
      </c>
      <c r="P7" s="34">
        <f>'Tableau sortie'!R32</f>
        <v>510</v>
      </c>
      <c r="Q7" s="34">
        <f>'Tableau sortie'!S32</f>
        <v>386</v>
      </c>
      <c r="R7" s="34">
        <f>'Tableau sortie'!T32</f>
        <v>480</v>
      </c>
      <c r="S7" s="34">
        <f>'Tableau sortie'!U32</f>
        <v>390</v>
      </c>
      <c r="T7" s="34">
        <f>'Tableau sortie'!V32</f>
        <v>299</v>
      </c>
      <c r="U7" s="34">
        <f>'Tableau sortie'!W32</f>
        <v>222</v>
      </c>
      <c r="V7" s="34">
        <f>'Tableau sortie'!X32</f>
        <v>241</v>
      </c>
      <c r="W7" s="34">
        <f>'Tableau sortie'!Y32</f>
        <v>151</v>
      </c>
      <c r="X7" s="34">
        <f>'Tableau sortie'!Z32</f>
        <v>104</v>
      </c>
      <c r="Y7" s="34">
        <f>'Tableau sortie'!AA32</f>
        <v>212</v>
      </c>
      <c r="Z7" s="34">
        <f>'Tableau sortie'!AB32</f>
        <v>304</v>
      </c>
      <c r="AA7" s="34">
        <f>'Tableau sortie'!AC32</f>
        <v>160</v>
      </c>
      <c r="AB7" s="34">
        <f>'Tableau sortie'!AD32</f>
        <v>177</v>
      </c>
      <c r="AC7" s="34">
        <f>'Tableau sortie'!AE32</f>
        <v>218</v>
      </c>
      <c r="AD7" s="34">
        <f>'Tableau sortie'!AF32</f>
        <v>136</v>
      </c>
      <c r="AE7" s="34">
        <f>'Tableau sortie'!AG32</f>
        <v>71</v>
      </c>
      <c r="AF7" s="34">
        <f>'Tableau sortie'!AH32</f>
        <v>39</v>
      </c>
      <c r="AG7" s="34">
        <f>'Tableau sortie'!AI32</f>
        <v>46</v>
      </c>
      <c r="AH7" s="34">
        <f>'Tableau sortie'!AJ32</f>
        <v>37</v>
      </c>
    </row>
    <row r="8" spans="1:34" ht="12.75">
      <c r="A8" s="33" t="s">
        <v>33</v>
      </c>
      <c r="B8" s="34">
        <f>'Tableau sortie'!D34</f>
        <v>3054</v>
      </c>
      <c r="C8" s="34">
        <f>'Tableau sortie'!E34</f>
        <v>2492</v>
      </c>
      <c r="D8" s="34">
        <f>'Tableau sortie'!F34</f>
        <v>3194</v>
      </c>
      <c r="E8" s="34">
        <f>'Tableau sortie'!G34</f>
        <v>3653</v>
      </c>
      <c r="F8" s="34">
        <f>'Tableau sortie'!H34</f>
        <v>5049</v>
      </c>
      <c r="G8" s="34">
        <f>'Tableau sortie'!I34</f>
        <v>3936</v>
      </c>
      <c r="H8" s="34">
        <f>'Tableau sortie'!J34</f>
        <v>2819</v>
      </c>
      <c r="I8" s="34">
        <f>'Tableau sortie'!K34</f>
        <v>2067</v>
      </c>
      <c r="J8" s="34">
        <f>'Tableau sortie'!L34</f>
        <v>1660</v>
      </c>
      <c r="K8" s="34">
        <f>'Tableau sortie'!M34</f>
        <v>999</v>
      </c>
      <c r="L8" s="34">
        <f>'Tableau sortie'!N34</f>
        <v>938</v>
      </c>
      <c r="M8" s="34">
        <f>'Tableau sortie'!O34</f>
        <v>1729</v>
      </c>
      <c r="N8" s="34">
        <f>'Tableau sortie'!P34</f>
        <v>2076</v>
      </c>
      <c r="O8" s="34">
        <f>'Tableau sortie'!Q34</f>
        <v>1867</v>
      </c>
      <c r="P8" s="34">
        <f>'Tableau sortie'!R34</f>
        <v>2860</v>
      </c>
      <c r="Q8" s="34">
        <f>'Tableau sortie'!S34</f>
        <v>2800</v>
      </c>
      <c r="R8" s="34">
        <f>'Tableau sortie'!T34</f>
        <v>2723</v>
      </c>
      <c r="S8" s="34">
        <f>'Tableau sortie'!U34</f>
        <v>2305</v>
      </c>
      <c r="T8" s="34">
        <f>'Tableau sortie'!V34</f>
        <v>1722</v>
      </c>
      <c r="U8" s="34">
        <f>'Tableau sortie'!W34</f>
        <v>1379</v>
      </c>
      <c r="V8" s="34">
        <f>'Tableau sortie'!X34</f>
        <v>1217</v>
      </c>
      <c r="W8" s="34">
        <f>'Tableau sortie'!Y34</f>
        <v>824</v>
      </c>
      <c r="X8" s="34">
        <f>'Tableau sortie'!Z34</f>
        <v>929</v>
      </c>
      <c r="Y8" s="34">
        <f>'Tableau sortie'!AA34</f>
        <v>1248</v>
      </c>
      <c r="Z8" s="34">
        <f>'Tableau sortie'!AB34</f>
        <v>1895</v>
      </c>
      <c r="AA8" s="34">
        <f>'Tableau sortie'!AC34</f>
        <v>1741</v>
      </c>
      <c r="AB8" s="34">
        <f>'Tableau sortie'!AD34</f>
        <v>2021</v>
      </c>
      <c r="AC8" s="34">
        <f>'Tableau sortie'!AE34</f>
        <v>2909</v>
      </c>
      <c r="AD8" s="34">
        <f>'Tableau sortie'!AF34</f>
        <v>2316</v>
      </c>
      <c r="AE8" s="34">
        <f>'Tableau sortie'!AG34</f>
        <v>1444</v>
      </c>
      <c r="AF8" s="34">
        <f>'Tableau sortie'!AH34</f>
        <v>1196</v>
      </c>
      <c r="AG8" s="34">
        <f>'Tableau sortie'!AI34</f>
        <v>1080</v>
      </c>
      <c r="AH8" s="34">
        <f>'Tableau sortie'!AJ34</f>
        <v>962</v>
      </c>
    </row>
    <row r="9" spans="1:34" ht="12.75">
      <c r="A9" s="33" t="s">
        <v>32</v>
      </c>
      <c r="B9" s="34">
        <f>'Tableau sortie'!D33</f>
        <v>1205</v>
      </c>
      <c r="C9" s="34">
        <f>'Tableau sortie'!E33</f>
        <v>1037</v>
      </c>
      <c r="D9" s="34">
        <f>'Tableau sortie'!F33</f>
        <v>1332</v>
      </c>
      <c r="E9" s="34">
        <f>'Tableau sortie'!G33</f>
        <v>1401</v>
      </c>
      <c r="F9" s="34">
        <f>'Tableau sortie'!H33</f>
        <v>1881</v>
      </c>
      <c r="G9" s="34">
        <f>'Tableau sortie'!I33</f>
        <v>1547</v>
      </c>
      <c r="H9" s="34">
        <f>'Tableau sortie'!J33</f>
        <v>1260</v>
      </c>
      <c r="I9" s="34">
        <f>'Tableau sortie'!K33</f>
        <v>878</v>
      </c>
      <c r="J9" s="34">
        <f>'Tableau sortie'!L33</f>
        <v>812</v>
      </c>
      <c r="K9" s="34">
        <f>'Tableau sortie'!M33</f>
        <v>575</v>
      </c>
      <c r="L9" s="34">
        <f>'Tableau sortie'!N33</f>
        <v>351</v>
      </c>
      <c r="M9" s="34">
        <f>'Tableau sortie'!O33</f>
        <v>859</v>
      </c>
      <c r="N9" s="34">
        <f>'Tableau sortie'!P33</f>
        <v>1211</v>
      </c>
      <c r="O9" s="34">
        <f>'Tableau sortie'!Q33</f>
        <v>1036</v>
      </c>
      <c r="P9" s="34">
        <f>'Tableau sortie'!R33</f>
        <v>1666</v>
      </c>
      <c r="Q9" s="34">
        <f>'Tableau sortie'!S33</f>
        <v>1364</v>
      </c>
      <c r="R9" s="34">
        <f>'Tableau sortie'!T33</f>
        <v>1712</v>
      </c>
      <c r="S9" s="34">
        <f>'Tableau sortie'!U33</f>
        <v>1435</v>
      </c>
      <c r="T9" s="34">
        <f>'Tableau sortie'!V33</f>
        <v>1159</v>
      </c>
      <c r="U9" s="34">
        <f>'Tableau sortie'!W33</f>
        <v>746</v>
      </c>
      <c r="V9" s="34">
        <f>'Tableau sortie'!X33</f>
        <v>750</v>
      </c>
      <c r="W9" s="34">
        <f>'Tableau sortie'!Y33</f>
        <v>505</v>
      </c>
      <c r="X9" s="34">
        <f>'Tableau sortie'!Z33</f>
        <v>456</v>
      </c>
      <c r="Y9" s="34">
        <f>'Tableau sortie'!AA33</f>
        <v>751</v>
      </c>
      <c r="Z9" s="34">
        <f>'Tableau sortie'!AB33</f>
        <v>1303</v>
      </c>
      <c r="AA9" s="34">
        <f>'Tableau sortie'!AC33</f>
        <v>1068</v>
      </c>
      <c r="AB9" s="34">
        <f>'Tableau sortie'!AD33</f>
        <v>1498</v>
      </c>
      <c r="AC9" s="34">
        <f>'Tableau sortie'!AE33</f>
        <v>1830</v>
      </c>
      <c r="AD9" s="34">
        <f>'Tableau sortie'!AF33</f>
        <v>1593</v>
      </c>
      <c r="AE9" s="34">
        <f>'Tableau sortie'!AG33</f>
        <v>900</v>
      </c>
      <c r="AF9" s="34">
        <f>'Tableau sortie'!AH33</f>
        <v>603</v>
      </c>
      <c r="AG9" s="34">
        <f>'Tableau sortie'!AI33</f>
        <v>684</v>
      </c>
      <c r="AH9" s="34">
        <f>'Tableau sortie'!AJ33</f>
        <v>595</v>
      </c>
    </row>
    <row r="10" spans="1:34" ht="12.75">
      <c r="A10" s="33" t="s">
        <v>36</v>
      </c>
      <c r="B10" s="34">
        <f>'Tableau sortie'!D37</f>
        <v>678</v>
      </c>
      <c r="C10" s="34">
        <f>'Tableau sortie'!E37</f>
        <v>606</v>
      </c>
      <c r="D10" s="34">
        <f>'Tableau sortie'!F37</f>
        <v>801</v>
      </c>
      <c r="E10" s="34">
        <f>'Tableau sortie'!G37</f>
        <v>875</v>
      </c>
      <c r="F10" s="34">
        <f>'Tableau sortie'!H37</f>
        <v>1187</v>
      </c>
      <c r="G10" s="34">
        <f>'Tableau sortie'!I37</f>
        <v>946</v>
      </c>
      <c r="H10" s="34">
        <f>'Tableau sortie'!J37</f>
        <v>660</v>
      </c>
      <c r="I10" s="34">
        <f>'Tableau sortie'!K37</f>
        <v>473</v>
      </c>
      <c r="J10" s="34">
        <f>'Tableau sortie'!L37</f>
        <v>344</v>
      </c>
      <c r="K10" s="34">
        <f>'Tableau sortie'!M37</f>
        <v>223</v>
      </c>
      <c r="L10" s="34">
        <f>'Tableau sortie'!N37</f>
        <v>256</v>
      </c>
      <c r="M10" s="34">
        <f>'Tableau sortie'!O37</f>
        <v>397</v>
      </c>
      <c r="N10" s="34">
        <f>'Tableau sortie'!P37</f>
        <v>505</v>
      </c>
      <c r="O10" s="34">
        <f>'Tableau sortie'!Q37</f>
        <v>416</v>
      </c>
      <c r="P10" s="34">
        <f>'Tableau sortie'!R37</f>
        <v>615</v>
      </c>
      <c r="Q10" s="34">
        <f>'Tableau sortie'!S37</f>
        <v>680</v>
      </c>
      <c r="R10" s="34">
        <f>'Tableau sortie'!T37</f>
        <v>662</v>
      </c>
      <c r="S10" s="34">
        <f>'Tableau sortie'!U37</f>
        <v>555</v>
      </c>
      <c r="T10" s="34">
        <f>'Tableau sortie'!V37</f>
        <v>414</v>
      </c>
      <c r="U10" s="34">
        <f>'Tableau sortie'!W37</f>
        <v>374</v>
      </c>
      <c r="V10" s="34">
        <f>'Tableau sortie'!X37</f>
        <v>299</v>
      </c>
      <c r="W10" s="34">
        <f>'Tableau sortie'!Y37</f>
        <v>178</v>
      </c>
      <c r="X10" s="34">
        <f>'Tableau sortie'!Z37</f>
        <v>227</v>
      </c>
      <c r="Y10" s="34">
        <f>'Tableau sortie'!AA37</f>
        <v>345</v>
      </c>
      <c r="Z10" s="34">
        <f>'Tableau sortie'!AB37</f>
        <v>536</v>
      </c>
      <c r="AA10" s="34">
        <f>'Tableau sortie'!AC37</f>
        <v>517</v>
      </c>
      <c r="AB10" s="34">
        <f>'Tableau sortie'!AD37</f>
        <v>531</v>
      </c>
      <c r="AC10" s="34">
        <f>'Tableau sortie'!AE37</f>
        <v>857</v>
      </c>
      <c r="AD10" s="34">
        <f>'Tableau sortie'!AF37</f>
        <v>667</v>
      </c>
      <c r="AE10" s="34">
        <f>'Tableau sortie'!AG37</f>
        <v>432</v>
      </c>
      <c r="AF10" s="34">
        <f>'Tableau sortie'!AH37</f>
        <v>339</v>
      </c>
      <c r="AG10" s="34">
        <f>'Tableau sortie'!AI37</f>
        <v>305</v>
      </c>
      <c r="AH10" s="34">
        <f>'Tableau sortie'!AJ37</f>
        <v>295</v>
      </c>
    </row>
    <row r="11" spans="1:34" ht="12.75">
      <c r="A11" s="33" t="s">
        <v>37</v>
      </c>
      <c r="B11" s="34">
        <f>'Tableau sortie'!D38</f>
        <v>889</v>
      </c>
      <c r="C11" s="34">
        <f>'Tableau sortie'!E38</f>
        <v>785</v>
      </c>
      <c r="D11" s="34">
        <f>'Tableau sortie'!F38</f>
        <v>965</v>
      </c>
      <c r="E11" s="34">
        <f>'Tableau sortie'!G38</f>
        <v>1297</v>
      </c>
      <c r="F11" s="34">
        <f>'Tableau sortie'!H38</f>
        <v>1738</v>
      </c>
      <c r="G11" s="34">
        <f>'Tableau sortie'!I38</f>
        <v>1583</v>
      </c>
      <c r="H11" s="34">
        <f>'Tableau sortie'!J38</f>
        <v>963</v>
      </c>
      <c r="I11" s="34">
        <f>'Tableau sortie'!K38</f>
        <v>787</v>
      </c>
      <c r="J11" s="34">
        <f>'Tableau sortie'!L38</f>
        <v>698</v>
      </c>
      <c r="K11" s="34">
        <f>'Tableau sortie'!M38</f>
        <v>497</v>
      </c>
      <c r="L11" s="34">
        <f>'Tableau sortie'!N38</f>
        <v>482</v>
      </c>
      <c r="M11" s="34">
        <f>'Tableau sortie'!O38</f>
        <v>639</v>
      </c>
      <c r="N11" s="34">
        <f>'Tableau sortie'!P38</f>
        <v>869</v>
      </c>
      <c r="O11" s="34">
        <f>'Tableau sortie'!Q38</f>
        <v>835</v>
      </c>
      <c r="P11" s="34">
        <f>'Tableau sortie'!R38</f>
        <v>1056</v>
      </c>
      <c r="Q11" s="34">
        <f>'Tableau sortie'!S38</f>
        <v>1303</v>
      </c>
      <c r="R11" s="34">
        <f>'Tableau sortie'!T38</f>
        <v>1130</v>
      </c>
      <c r="S11" s="34">
        <f>'Tableau sortie'!U38</f>
        <v>1138</v>
      </c>
      <c r="T11" s="34">
        <f>'Tableau sortie'!V38</f>
        <v>795</v>
      </c>
      <c r="U11" s="34">
        <f>'Tableau sortie'!W38</f>
        <v>763</v>
      </c>
      <c r="V11" s="34">
        <f>'Tableau sortie'!X38</f>
        <v>663</v>
      </c>
      <c r="W11" s="34">
        <f>'Tableau sortie'!Y38</f>
        <v>519</v>
      </c>
      <c r="X11" s="34">
        <f>'Tableau sortie'!Z38</f>
        <v>532</v>
      </c>
      <c r="Y11" s="34">
        <f>'Tableau sortie'!AA38</f>
        <v>681</v>
      </c>
      <c r="Z11" s="34">
        <f>'Tableau sortie'!AB38</f>
        <v>930</v>
      </c>
      <c r="AA11" s="34">
        <f>'Tableau sortie'!AC38</f>
        <v>878</v>
      </c>
      <c r="AB11" s="34">
        <f>'Tableau sortie'!AD38</f>
        <v>891</v>
      </c>
      <c r="AC11" s="34">
        <f>'Tableau sortie'!AE38</f>
        <v>1666</v>
      </c>
      <c r="AD11" s="34">
        <f>'Tableau sortie'!AF38</f>
        <v>1344</v>
      </c>
      <c r="AE11" s="34">
        <f>'Tableau sortie'!AG38</f>
        <v>849</v>
      </c>
      <c r="AF11" s="34">
        <f>'Tableau sortie'!AH38</f>
        <v>706</v>
      </c>
      <c r="AG11" s="34">
        <f>'Tableau sortie'!AI38</f>
        <v>713</v>
      </c>
      <c r="AH11" s="34">
        <f>'Tableau sortie'!AJ38</f>
        <v>624</v>
      </c>
    </row>
    <row r="12" spans="1:34" ht="12.75">
      <c r="A12" s="33" t="s">
        <v>34</v>
      </c>
      <c r="B12" s="34">
        <f>'Tableau sortie'!D35</f>
        <v>1760</v>
      </c>
      <c r="C12" s="34">
        <f>'Tableau sortie'!E35</f>
        <v>1537</v>
      </c>
      <c r="D12" s="34">
        <f>'Tableau sortie'!F35</f>
        <v>1837</v>
      </c>
      <c r="E12" s="34">
        <f>'Tableau sortie'!G35</f>
        <v>2216</v>
      </c>
      <c r="F12" s="34">
        <f>'Tableau sortie'!H35</f>
        <v>2838</v>
      </c>
      <c r="G12" s="34">
        <f>'Tableau sortie'!I35</f>
        <v>2266</v>
      </c>
      <c r="H12" s="34">
        <f>'Tableau sortie'!J35</f>
        <v>1946</v>
      </c>
      <c r="I12" s="34">
        <f>'Tableau sortie'!K35</f>
        <v>1462</v>
      </c>
      <c r="J12" s="34">
        <f>'Tableau sortie'!L35</f>
        <v>1444</v>
      </c>
      <c r="K12" s="34">
        <f>'Tableau sortie'!M35</f>
        <v>1152</v>
      </c>
      <c r="L12" s="34">
        <f>'Tableau sortie'!N35</f>
        <v>958</v>
      </c>
      <c r="M12" s="34">
        <f>'Tableau sortie'!O35</f>
        <v>1393</v>
      </c>
      <c r="N12" s="34">
        <f>'Tableau sortie'!P35</f>
        <v>1660</v>
      </c>
      <c r="O12" s="34">
        <f>'Tableau sortie'!Q35</f>
        <v>1363</v>
      </c>
      <c r="P12" s="34">
        <f>'Tableau sortie'!R35</f>
        <v>1932</v>
      </c>
      <c r="Q12" s="34">
        <f>'Tableau sortie'!S35</f>
        <v>1717</v>
      </c>
      <c r="R12" s="34">
        <f>'Tableau sortie'!T35</f>
        <v>2064</v>
      </c>
      <c r="S12" s="34">
        <f>'Tableau sortie'!U35</f>
        <v>1814</v>
      </c>
      <c r="T12" s="34">
        <f>'Tableau sortie'!V35</f>
        <v>1533</v>
      </c>
      <c r="U12" s="34">
        <f>'Tableau sortie'!W35</f>
        <v>1321</v>
      </c>
      <c r="V12" s="34">
        <f>'Tableau sortie'!X35</f>
        <v>1352</v>
      </c>
      <c r="W12" s="34">
        <f>'Tableau sortie'!Y35</f>
        <v>1222</v>
      </c>
      <c r="X12" s="34">
        <f>'Tableau sortie'!Z35</f>
        <v>1230</v>
      </c>
      <c r="Y12" s="34">
        <f>'Tableau sortie'!AA35</f>
        <v>1395</v>
      </c>
      <c r="Z12" s="34">
        <f>'Tableau sortie'!AB35</f>
        <v>1847</v>
      </c>
      <c r="AA12" s="34">
        <f>'Tableau sortie'!AC35</f>
        <v>1591</v>
      </c>
      <c r="AB12" s="34">
        <f>'Tableau sortie'!AD35</f>
        <v>1896</v>
      </c>
      <c r="AC12" s="34">
        <f>'Tableau sortie'!AE35</f>
        <v>2294</v>
      </c>
      <c r="AD12" s="34">
        <f>'Tableau sortie'!AF35</f>
        <v>1991</v>
      </c>
      <c r="AE12" s="34">
        <f>'Tableau sortie'!AG35</f>
        <v>1421</v>
      </c>
      <c r="AF12" s="34">
        <f>'Tableau sortie'!AH35</f>
        <v>1201</v>
      </c>
      <c r="AG12" s="34">
        <f>'Tableau sortie'!AI35</f>
        <v>1310</v>
      </c>
      <c r="AH12" s="34">
        <f>'Tableau sortie'!AJ35</f>
        <v>1282</v>
      </c>
    </row>
    <row r="13" spans="1:34" ht="12.75">
      <c r="A13" s="33" t="s">
        <v>35</v>
      </c>
      <c r="B13" s="34">
        <f>'Tableau sortie'!D36</f>
        <v>6427</v>
      </c>
      <c r="C13" s="34">
        <f>'Tableau sortie'!E36</f>
        <v>5781</v>
      </c>
      <c r="D13" s="34">
        <f>'Tableau sortie'!F36</f>
        <v>7592</v>
      </c>
      <c r="E13" s="34">
        <f>'Tableau sortie'!G36</f>
        <v>8567</v>
      </c>
      <c r="F13" s="34">
        <f>'Tableau sortie'!H36</f>
        <v>10822</v>
      </c>
      <c r="G13" s="34">
        <f>'Tableau sortie'!I36</f>
        <v>8886</v>
      </c>
      <c r="H13" s="34">
        <f>'Tableau sortie'!J36</f>
        <v>7517</v>
      </c>
      <c r="I13" s="34">
        <f>'Tableau sortie'!K36</f>
        <v>5311</v>
      </c>
      <c r="J13" s="34">
        <f>'Tableau sortie'!L36</f>
        <v>5190</v>
      </c>
      <c r="K13" s="34">
        <f>'Tableau sortie'!M36</f>
        <v>3750</v>
      </c>
      <c r="L13" s="34">
        <f>'Tableau sortie'!N36</f>
        <v>2981</v>
      </c>
      <c r="M13" s="34">
        <f>'Tableau sortie'!O36</f>
        <v>5024</v>
      </c>
      <c r="N13" s="34">
        <f>'Tableau sortie'!P36</f>
        <v>6192</v>
      </c>
      <c r="O13" s="34">
        <f>'Tableau sortie'!Q36</f>
        <v>5247</v>
      </c>
      <c r="P13" s="34">
        <f>'Tableau sortie'!R36</f>
        <v>8386</v>
      </c>
      <c r="Q13" s="34">
        <f>'Tableau sortie'!S36</f>
        <v>7575</v>
      </c>
      <c r="R13" s="34">
        <f>'Tableau sortie'!T36</f>
        <v>9315</v>
      </c>
      <c r="S13" s="34">
        <f>'Tableau sortie'!U36</f>
        <v>7967</v>
      </c>
      <c r="T13" s="34">
        <f>'Tableau sortie'!V36</f>
        <v>6581</v>
      </c>
      <c r="U13" s="34">
        <f>'Tableau sortie'!W36</f>
        <v>5305</v>
      </c>
      <c r="V13" s="34">
        <f>'Tableau sortie'!X36</f>
        <v>5337</v>
      </c>
      <c r="W13" s="34">
        <f>'Tableau sortie'!Y36</f>
        <v>4478</v>
      </c>
      <c r="X13" s="34">
        <f>'Tableau sortie'!Z36</f>
        <v>4046</v>
      </c>
      <c r="Y13" s="34">
        <f>'Tableau sortie'!AA36</f>
        <v>5025</v>
      </c>
      <c r="Z13" s="34">
        <f>'Tableau sortie'!AB36</f>
        <v>7706</v>
      </c>
      <c r="AA13" s="34">
        <f>'Tableau sortie'!AC36</f>
        <v>6828</v>
      </c>
      <c r="AB13" s="34">
        <f>'Tableau sortie'!AD36</f>
        <v>8451</v>
      </c>
      <c r="AC13" s="34">
        <f>'Tableau sortie'!AE36</f>
        <v>10484</v>
      </c>
      <c r="AD13" s="34">
        <f>'Tableau sortie'!AF36</f>
        <v>8941</v>
      </c>
      <c r="AE13" s="34">
        <f>'Tableau sortie'!AG36</f>
        <v>5991</v>
      </c>
      <c r="AF13" s="34">
        <f>'Tableau sortie'!AH36</f>
        <v>4478</v>
      </c>
      <c r="AG13" s="34">
        <f>'Tableau sortie'!AI36</f>
        <v>4852</v>
      </c>
      <c r="AH13" s="34">
        <f>'Tableau sortie'!AJ36</f>
        <v>4464</v>
      </c>
    </row>
    <row r="14" spans="1:34" ht="12.75">
      <c r="A14" s="33" t="s">
        <v>38</v>
      </c>
      <c r="B14" s="34">
        <f>'Tableau sortie'!D39</f>
        <v>1170</v>
      </c>
      <c r="C14" s="34">
        <f>'Tableau sortie'!E39</f>
        <v>1031</v>
      </c>
      <c r="D14" s="34">
        <f>'Tableau sortie'!F39</f>
        <v>1312</v>
      </c>
      <c r="E14" s="34">
        <f>'Tableau sortie'!G39</f>
        <v>1576</v>
      </c>
      <c r="F14" s="34">
        <f>'Tableau sortie'!H39</f>
        <v>2429</v>
      </c>
      <c r="G14" s="34">
        <f>'Tableau sortie'!I39</f>
        <v>1648</v>
      </c>
      <c r="H14" s="34">
        <f>'Tableau sortie'!J39</f>
        <v>1123</v>
      </c>
      <c r="I14" s="34">
        <f>'Tableau sortie'!K39</f>
        <v>834</v>
      </c>
      <c r="J14" s="34">
        <f>'Tableau sortie'!L39</f>
        <v>757</v>
      </c>
      <c r="K14" s="34">
        <f>'Tableau sortie'!M39</f>
        <v>498</v>
      </c>
      <c r="L14" s="34">
        <f>'Tableau sortie'!N39</f>
        <v>518</v>
      </c>
      <c r="M14" s="34">
        <f>'Tableau sortie'!O39</f>
        <v>773</v>
      </c>
      <c r="N14" s="34">
        <f>'Tableau sortie'!P39</f>
        <v>969</v>
      </c>
      <c r="O14" s="34">
        <f>'Tableau sortie'!Q39</f>
        <v>821</v>
      </c>
      <c r="P14" s="34">
        <f>'Tableau sortie'!R39</f>
        <v>1248</v>
      </c>
      <c r="Q14" s="34">
        <f>'Tableau sortie'!S39</f>
        <v>1239</v>
      </c>
      <c r="R14" s="34">
        <f>'Tableau sortie'!T39</f>
        <v>1300</v>
      </c>
      <c r="S14" s="34">
        <f>'Tableau sortie'!U39</f>
        <v>1185</v>
      </c>
      <c r="T14" s="34">
        <f>'Tableau sortie'!V39</f>
        <v>910</v>
      </c>
      <c r="U14" s="34">
        <f>'Tableau sortie'!W39</f>
        <v>678</v>
      </c>
      <c r="V14" s="34">
        <f>'Tableau sortie'!X39</f>
        <v>613</v>
      </c>
      <c r="W14" s="34">
        <f>'Tableau sortie'!Y39</f>
        <v>419</v>
      </c>
      <c r="X14" s="34">
        <f>'Tableau sortie'!Z39</f>
        <v>441</v>
      </c>
      <c r="Y14" s="34">
        <f>'Tableau sortie'!AA39</f>
        <v>677</v>
      </c>
      <c r="Z14" s="34">
        <f>'Tableau sortie'!AB39</f>
        <v>1057</v>
      </c>
      <c r="AA14" s="34">
        <f>'Tableau sortie'!AC39</f>
        <v>814</v>
      </c>
      <c r="AB14" s="34">
        <f>'Tableau sortie'!AD39</f>
        <v>938</v>
      </c>
      <c r="AC14" s="34">
        <f>'Tableau sortie'!AE39</f>
        <v>1465</v>
      </c>
      <c r="AD14" s="34">
        <f>'Tableau sortie'!AF39</f>
        <v>1299</v>
      </c>
      <c r="AE14" s="34">
        <f>'Tableau sortie'!AG39</f>
        <v>745</v>
      </c>
      <c r="AF14" s="34">
        <f>'Tableau sortie'!AH39</f>
        <v>534</v>
      </c>
      <c r="AG14" s="34">
        <f>'Tableau sortie'!AI39</f>
        <v>603</v>
      </c>
      <c r="AH14" s="34">
        <f>'Tableau sortie'!AJ39</f>
        <v>550</v>
      </c>
    </row>
    <row r="15" spans="1:34" ht="12.75">
      <c r="A15" s="33" t="s">
        <v>39</v>
      </c>
      <c r="B15" s="34">
        <f>'Tableau sortie'!D40</f>
        <v>855</v>
      </c>
      <c r="C15" s="34">
        <f>'Tableau sortie'!E40</f>
        <v>816</v>
      </c>
      <c r="D15" s="34">
        <f>'Tableau sortie'!F40</f>
        <v>976</v>
      </c>
      <c r="E15" s="34">
        <f>'Tableau sortie'!G40</f>
        <v>1091</v>
      </c>
      <c r="F15" s="34">
        <f>'Tableau sortie'!H40</f>
        <v>1462</v>
      </c>
      <c r="G15" s="34">
        <f>'Tableau sortie'!I40</f>
        <v>1046</v>
      </c>
      <c r="H15" s="34">
        <f>'Tableau sortie'!J40</f>
        <v>911</v>
      </c>
      <c r="I15" s="34">
        <f>'Tableau sortie'!K40</f>
        <v>619</v>
      </c>
      <c r="J15" s="34">
        <f>'Tableau sortie'!L40</f>
        <v>680</v>
      </c>
      <c r="K15" s="34">
        <f>'Tableau sortie'!M40</f>
        <v>523</v>
      </c>
      <c r="L15" s="34">
        <f>'Tableau sortie'!N40</f>
        <v>344</v>
      </c>
      <c r="M15" s="34">
        <f>'Tableau sortie'!O40</f>
        <v>605</v>
      </c>
      <c r="N15" s="34">
        <f>'Tableau sortie'!P40</f>
        <v>889</v>
      </c>
      <c r="O15" s="34">
        <f>'Tableau sortie'!Q40</f>
        <v>783</v>
      </c>
      <c r="P15" s="34">
        <f>'Tableau sortie'!R40</f>
        <v>1250</v>
      </c>
      <c r="Q15" s="34">
        <f>'Tableau sortie'!S40</f>
        <v>877</v>
      </c>
      <c r="R15" s="34">
        <f>'Tableau sortie'!T40</f>
        <v>1164</v>
      </c>
      <c r="S15" s="34">
        <f>'Tableau sortie'!U40</f>
        <v>1010</v>
      </c>
      <c r="T15" s="34">
        <f>'Tableau sortie'!V40</f>
        <v>832</v>
      </c>
      <c r="U15" s="34">
        <f>'Tableau sortie'!W40</f>
        <v>605</v>
      </c>
      <c r="V15" s="34">
        <f>'Tableau sortie'!X40</f>
        <v>580</v>
      </c>
      <c r="W15" s="34">
        <f>'Tableau sortie'!Y40</f>
        <v>456</v>
      </c>
      <c r="X15" s="34">
        <f>'Tableau sortie'!Z40</f>
        <v>386</v>
      </c>
      <c r="Y15" s="34">
        <f>'Tableau sortie'!AA40</f>
        <v>524</v>
      </c>
      <c r="Z15" s="34">
        <f>'Tableau sortie'!AB40</f>
        <v>880</v>
      </c>
      <c r="AA15" s="34">
        <f>'Tableau sortie'!AC40</f>
        <v>710</v>
      </c>
      <c r="AB15" s="34">
        <f>'Tableau sortie'!AD40</f>
        <v>898</v>
      </c>
      <c r="AC15" s="34">
        <f>'Tableau sortie'!AE40</f>
        <v>1187</v>
      </c>
      <c r="AD15" s="34">
        <f>'Tableau sortie'!AF40</f>
        <v>963</v>
      </c>
      <c r="AE15" s="34">
        <f>'Tableau sortie'!AG40</f>
        <v>584</v>
      </c>
      <c r="AF15" s="34">
        <f>'Tableau sortie'!AH40</f>
        <v>430</v>
      </c>
      <c r="AG15" s="34">
        <f>'Tableau sortie'!AI40</f>
        <v>563</v>
      </c>
      <c r="AH15" s="34">
        <f>'Tableau sortie'!AJ40</f>
        <v>523</v>
      </c>
    </row>
    <row r="16" spans="1:34" ht="12.75">
      <c r="A16" s="33" t="s">
        <v>40</v>
      </c>
      <c r="B16" s="34">
        <f>'Tableau sortie'!D41</f>
        <v>3797</v>
      </c>
      <c r="C16" s="34">
        <f>'Tableau sortie'!E41</f>
        <v>3381</v>
      </c>
      <c r="D16" s="34">
        <f>'Tableau sortie'!F41</f>
        <v>4546</v>
      </c>
      <c r="E16" s="34">
        <f>'Tableau sortie'!G41</f>
        <v>4972</v>
      </c>
      <c r="F16" s="34">
        <f>'Tableau sortie'!H41</f>
        <v>7228</v>
      </c>
      <c r="G16" s="34">
        <f>'Tableau sortie'!I41</f>
        <v>5711</v>
      </c>
      <c r="H16" s="34">
        <f>'Tableau sortie'!J41</f>
        <v>4168</v>
      </c>
      <c r="I16" s="34">
        <f>'Tableau sortie'!K41</f>
        <v>3199</v>
      </c>
      <c r="J16" s="34">
        <f>'Tableau sortie'!L41</f>
        <v>2786</v>
      </c>
      <c r="K16" s="34">
        <f>'Tableau sortie'!M41</f>
        <v>1960</v>
      </c>
      <c r="L16" s="34">
        <f>'Tableau sortie'!N41</f>
        <v>1702</v>
      </c>
      <c r="M16" s="34">
        <f>'Tableau sortie'!O41</f>
        <v>3558</v>
      </c>
      <c r="N16" s="34">
        <f>'Tableau sortie'!P41</f>
        <v>4921</v>
      </c>
      <c r="O16" s="34">
        <f>'Tableau sortie'!Q41</f>
        <v>3995</v>
      </c>
      <c r="P16" s="34">
        <f>'Tableau sortie'!R41</f>
        <v>5870</v>
      </c>
      <c r="Q16" s="34">
        <f>'Tableau sortie'!S41</f>
        <v>5456</v>
      </c>
      <c r="R16" s="34">
        <f>'Tableau sortie'!T41</f>
        <v>5682</v>
      </c>
      <c r="S16" s="34">
        <f>'Tableau sortie'!U41</f>
        <v>4776</v>
      </c>
      <c r="T16" s="34">
        <f>'Tableau sortie'!V41</f>
        <v>4090</v>
      </c>
      <c r="U16" s="34">
        <f>'Tableau sortie'!W41</f>
        <v>3366</v>
      </c>
      <c r="V16" s="34">
        <f>'Tableau sortie'!X41</f>
        <v>3151</v>
      </c>
      <c r="W16" s="34">
        <f>'Tableau sortie'!Y41</f>
        <v>2120</v>
      </c>
      <c r="X16" s="34">
        <f>'Tableau sortie'!Z41</f>
        <v>2117</v>
      </c>
      <c r="Y16" s="34">
        <f>'Tableau sortie'!AA41</f>
        <v>3144</v>
      </c>
      <c r="Z16" s="34">
        <f>'Tableau sortie'!AB41</f>
        <v>5158</v>
      </c>
      <c r="AA16" s="34">
        <f>'Tableau sortie'!AC41</f>
        <v>4296</v>
      </c>
      <c r="AB16" s="34">
        <f>'Tableau sortie'!AD41</f>
        <v>4877</v>
      </c>
      <c r="AC16" s="34">
        <f>'Tableau sortie'!AE41</f>
        <v>6222</v>
      </c>
      <c r="AD16" s="34">
        <f>'Tableau sortie'!AF41</f>
        <v>5129</v>
      </c>
      <c r="AE16" s="34">
        <f>'Tableau sortie'!AG41</f>
        <v>2972</v>
      </c>
      <c r="AF16" s="34">
        <f>'Tableau sortie'!AH41</f>
        <v>2372</v>
      </c>
      <c r="AG16" s="34">
        <f>'Tableau sortie'!AI41</f>
        <v>2411</v>
      </c>
      <c r="AH16" s="34">
        <f>'Tableau sortie'!AJ41</f>
        <v>2212</v>
      </c>
    </row>
    <row r="17" spans="1:34" ht="12.75">
      <c r="A17" s="33" t="s">
        <v>41</v>
      </c>
      <c r="B17" s="34">
        <f>'Tableau sortie'!D42</f>
        <v>2103</v>
      </c>
      <c r="C17" s="34">
        <f>'Tableau sortie'!E42</f>
        <v>1797</v>
      </c>
      <c r="D17" s="34">
        <f>'Tableau sortie'!F42</f>
        <v>2229</v>
      </c>
      <c r="E17" s="34">
        <f>'Tableau sortie'!G42</f>
        <v>2390</v>
      </c>
      <c r="F17" s="34">
        <f>'Tableau sortie'!H42</f>
        <v>2912</v>
      </c>
      <c r="G17" s="34">
        <f>'Tableau sortie'!I42</f>
        <v>2266</v>
      </c>
      <c r="H17" s="34">
        <f>'Tableau sortie'!J42</f>
        <v>1779</v>
      </c>
      <c r="I17" s="34">
        <f>'Tableau sortie'!K42</f>
        <v>1497</v>
      </c>
      <c r="J17" s="34">
        <f>'Tableau sortie'!L42</f>
        <v>1495</v>
      </c>
      <c r="K17" s="34">
        <f>'Tableau sortie'!M42</f>
        <v>1144</v>
      </c>
      <c r="L17" s="34">
        <f>'Tableau sortie'!N42</f>
        <v>994</v>
      </c>
      <c r="M17" s="34">
        <f>'Tableau sortie'!O42</f>
        <v>1550</v>
      </c>
      <c r="N17" s="34">
        <f>'Tableau sortie'!P42</f>
        <v>1747</v>
      </c>
      <c r="O17" s="34">
        <f>'Tableau sortie'!Q42</f>
        <v>1462</v>
      </c>
      <c r="P17" s="34">
        <f>'Tableau sortie'!R42</f>
        <v>1884</v>
      </c>
      <c r="Q17" s="34">
        <f>'Tableau sortie'!S42</f>
        <v>1666</v>
      </c>
      <c r="R17" s="34">
        <f>'Tableau sortie'!T42</f>
        <v>1827</v>
      </c>
      <c r="S17" s="34">
        <f>'Tableau sortie'!U42</f>
        <v>1683</v>
      </c>
      <c r="T17" s="34">
        <f>'Tableau sortie'!V42</f>
        <v>1433</v>
      </c>
      <c r="U17" s="34">
        <f>'Tableau sortie'!W42</f>
        <v>1127</v>
      </c>
      <c r="V17" s="34">
        <f>'Tableau sortie'!X42</f>
        <v>1155</v>
      </c>
      <c r="W17" s="34">
        <f>'Tableau sortie'!Y42</f>
        <v>887</v>
      </c>
      <c r="X17" s="34">
        <f>'Tableau sortie'!Z42</f>
        <v>926</v>
      </c>
      <c r="Y17" s="34">
        <f>'Tableau sortie'!AA42</f>
        <v>1198</v>
      </c>
      <c r="Z17" s="34">
        <f>'Tableau sortie'!AB42</f>
        <v>1622</v>
      </c>
      <c r="AA17" s="34">
        <f>'Tableau sortie'!AC42</f>
        <v>1424</v>
      </c>
      <c r="AB17" s="34">
        <f>'Tableau sortie'!AD42</f>
        <v>1576</v>
      </c>
      <c r="AC17" s="34">
        <f>'Tableau sortie'!AE42</f>
        <v>1760</v>
      </c>
      <c r="AD17" s="34">
        <f>'Tableau sortie'!AF42</f>
        <v>1479</v>
      </c>
      <c r="AE17" s="34">
        <f>'Tableau sortie'!AG42</f>
        <v>1020</v>
      </c>
      <c r="AF17" s="34">
        <f>'Tableau sortie'!AH42</f>
        <v>739</v>
      </c>
      <c r="AG17" s="34">
        <f>'Tableau sortie'!AI42</f>
        <v>854</v>
      </c>
      <c r="AH17" s="34">
        <f>'Tableau sortie'!AJ42</f>
        <v>847</v>
      </c>
    </row>
    <row r="18" spans="1:34" ht="12.75">
      <c r="A18" s="33" t="s">
        <v>42</v>
      </c>
      <c r="B18" s="34">
        <f>'Tableau sortie'!D43</f>
        <v>1825</v>
      </c>
      <c r="C18" s="34">
        <f>'Tableau sortie'!E43</f>
        <v>1706</v>
      </c>
      <c r="D18" s="34">
        <f>'Tableau sortie'!F43</f>
        <v>2086</v>
      </c>
      <c r="E18" s="34">
        <f>'Tableau sortie'!G43</f>
        <v>2101</v>
      </c>
      <c r="F18" s="34">
        <f>'Tableau sortie'!H43</f>
        <v>2782</v>
      </c>
      <c r="G18" s="34">
        <f>'Tableau sortie'!I43</f>
        <v>2161</v>
      </c>
      <c r="H18" s="34">
        <f>'Tableau sortie'!J43</f>
        <v>1440</v>
      </c>
      <c r="I18" s="34">
        <f>'Tableau sortie'!K43</f>
        <v>1067</v>
      </c>
      <c r="J18" s="34">
        <f>'Tableau sortie'!L43</f>
        <v>834</v>
      </c>
      <c r="K18" s="34">
        <f>'Tableau sortie'!M43</f>
        <v>451</v>
      </c>
      <c r="L18" s="34">
        <f>'Tableau sortie'!N43</f>
        <v>489</v>
      </c>
      <c r="M18" s="34">
        <f>'Tableau sortie'!O43</f>
        <v>951</v>
      </c>
      <c r="N18" s="34">
        <f>'Tableau sortie'!P43</f>
        <v>1532</v>
      </c>
      <c r="O18" s="34">
        <f>'Tableau sortie'!Q43</f>
        <v>1176</v>
      </c>
      <c r="P18" s="34">
        <f>'Tableau sortie'!R43</f>
        <v>1756</v>
      </c>
      <c r="Q18" s="34">
        <f>'Tableau sortie'!S43</f>
        <v>1724</v>
      </c>
      <c r="R18" s="34">
        <f>'Tableau sortie'!T43</f>
        <v>1656</v>
      </c>
      <c r="S18" s="34">
        <f>'Tableau sortie'!U43</f>
        <v>1572</v>
      </c>
      <c r="T18" s="34">
        <f>'Tableau sortie'!V43</f>
        <v>1088</v>
      </c>
      <c r="U18" s="34">
        <f>'Tableau sortie'!W43</f>
        <v>961</v>
      </c>
      <c r="V18" s="34">
        <f>'Tableau sortie'!X43</f>
        <v>1067</v>
      </c>
      <c r="W18" s="34">
        <f>'Tableau sortie'!Y43</f>
        <v>611</v>
      </c>
      <c r="X18" s="34">
        <f>'Tableau sortie'!Z43</f>
        <v>560</v>
      </c>
      <c r="Y18" s="34">
        <f>'Tableau sortie'!AA43</f>
        <v>922</v>
      </c>
      <c r="Z18" s="34">
        <f>'Tableau sortie'!AB43</f>
        <v>1809</v>
      </c>
      <c r="AA18" s="34">
        <f>'Tableau sortie'!AC43</f>
        <v>1562</v>
      </c>
      <c r="AB18" s="34">
        <f>'Tableau sortie'!AD43</f>
        <v>1678</v>
      </c>
      <c r="AC18" s="34">
        <f>'Tableau sortie'!AE43</f>
        <v>2204</v>
      </c>
      <c r="AD18" s="34">
        <f>'Tableau sortie'!AF43</f>
        <v>1537</v>
      </c>
      <c r="AE18" s="34">
        <f>'Tableau sortie'!AG43</f>
        <v>912</v>
      </c>
      <c r="AF18" s="34">
        <f>'Tableau sortie'!AH43</f>
        <v>522</v>
      </c>
      <c r="AG18" s="34">
        <f>'Tableau sortie'!AI43</f>
        <v>301</v>
      </c>
      <c r="AH18" s="34">
        <f>'Tableau sortie'!AJ43</f>
        <v>274</v>
      </c>
    </row>
    <row r="19" spans="1:34" ht="12.75">
      <c r="A19" s="33" t="s">
        <v>46</v>
      </c>
      <c r="B19" s="34">
        <f>'Tableau sortie'!D47</f>
        <v>1547</v>
      </c>
      <c r="C19" s="34">
        <f>'Tableau sortie'!E47</f>
        <v>1438</v>
      </c>
      <c r="D19" s="34">
        <f>'Tableau sortie'!F47</f>
        <v>1683</v>
      </c>
      <c r="E19" s="34">
        <f>'Tableau sortie'!G47</f>
        <v>1777</v>
      </c>
      <c r="F19" s="34">
        <f>'Tableau sortie'!H47</f>
        <v>1980</v>
      </c>
      <c r="G19" s="34">
        <f>'Tableau sortie'!I47</f>
        <v>1875</v>
      </c>
      <c r="H19" s="34">
        <f>'Tableau sortie'!J47</f>
        <v>1563</v>
      </c>
      <c r="I19" s="34">
        <f>'Tableau sortie'!K47</f>
        <v>1380</v>
      </c>
      <c r="J19" s="34">
        <f>'Tableau sortie'!L47</f>
        <v>1292</v>
      </c>
      <c r="K19" s="34">
        <f>'Tableau sortie'!M47</f>
        <v>1228</v>
      </c>
      <c r="L19" s="34">
        <f>'Tableau sortie'!N47</f>
        <v>1182</v>
      </c>
      <c r="M19" s="34">
        <f>'Tableau sortie'!O47</f>
        <v>1472</v>
      </c>
      <c r="N19" s="34">
        <f>'Tableau sortie'!P47</f>
        <v>1632</v>
      </c>
      <c r="O19" s="34">
        <f>'Tableau sortie'!Q47</f>
        <v>1399</v>
      </c>
      <c r="P19" s="34">
        <f>'Tableau sortie'!R47</f>
        <v>1863</v>
      </c>
      <c r="Q19" s="34">
        <f>'Tableau sortie'!S47</f>
        <v>1827</v>
      </c>
      <c r="R19" s="34">
        <f>'Tableau sortie'!T47</f>
        <v>1789</v>
      </c>
      <c r="S19" s="34">
        <f>'Tableau sortie'!U47</f>
        <v>1676</v>
      </c>
      <c r="T19" s="34">
        <f>'Tableau sortie'!V47</f>
        <v>1275</v>
      </c>
      <c r="U19" s="34">
        <f>'Tableau sortie'!W47</f>
        <v>1405</v>
      </c>
      <c r="V19" s="34">
        <f>'Tableau sortie'!X47</f>
        <v>1393</v>
      </c>
      <c r="W19" s="34">
        <f>'Tableau sortie'!Y47</f>
        <v>1303</v>
      </c>
      <c r="X19" s="34">
        <f>'Tableau sortie'!Z47</f>
        <v>1332</v>
      </c>
      <c r="Y19" s="34">
        <f>'Tableau sortie'!AA47</f>
        <v>1496</v>
      </c>
      <c r="Z19" s="34">
        <f>'Tableau sortie'!AB47</f>
        <v>1835</v>
      </c>
      <c r="AA19" s="34">
        <f>'Tableau sortie'!AC47</f>
        <v>1651</v>
      </c>
      <c r="AB19" s="34">
        <f>'Tableau sortie'!AD47</f>
        <v>1581</v>
      </c>
      <c r="AC19" s="34">
        <f>'Tableau sortie'!AE47</f>
        <v>2233</v>
      </c>
      <c r="AD19" s="34">
        <f>'Tableau sortie'!AF47</f>
        <v>1869</v>
      </c>
      <c r="AE19" s="34">
        <f>'Tableau sortie'!AG47</f>
        <v>1569</v>
      </c>
      <c r="AF19" s="34">
        <f>'Tableau sortie'!AH47</f>
        <v>1329</v>
      </c>
      <c r="AG19" s="34">
        <f>'Tableau sortie'!AI47</f>
        <v>1391</v>
      </c>
      <c r="AH19" s="34">
        <f>'Tableau sortie'!AJ47</f>
        <v>1386</v>
      </c>
    </row>
    <row r="20" spans="1:34" ht="12.75">
      <c r="A20" s="33" t="s">
        <v>43</v>
      </c>
      <c r="B20" s="34">
        <f>'Tableau sortie'!D44</f>
        <v>519</v>
      </c>
      <c r="C20" s="34">
        <f>'Tableau sortie'!E44</f>
        <v>493</v>
      </c>
      <c r="D20" s="34">
        <f>'Tableau sortie'!F44</f>
        <v>518</v>
      </c>
      <c r="E20" s="34">
        <f>'Tableau sortie'!G44</f>
        <v>516</v>
      </c>
      <c r="F20" s="34">
        <f>'Tableau sortie'!H44</f>
        <v>472</v>
      </c>
      <c r="G20" s="34">
        <f>'Tableau sortie'!I44</f>
        <v>555</v>
      </c>
      <c r="H20" s="34">
        <f>'Tableau sortie'!J44</f>
        <v>508</v>
      </c>
      <c r="I20" s="34">
        <f>'Tableau sortie'!K44</f>
        <v>480</v>
      </c>
      <c r="J20" s="34">
        <f>'Tableau sortie'!L44</f>
        <v>409</v>
      </c>
      <c r="K20" s="34">
        <f>'Tableau sortie'!M44</f>
        <v>411</v>
      </c>
      <c r="L20" s="34">
        <f>'Tableau sortie'!N44</f>
        <v>495</v>
      </c>
      <c r="M20" s="34">
        <f>'Tableau sortie'!O44</f>
        <v>511</v>
      </c>
      <c r="N20" s="34">
        <f>'Tableau sortie'!P44</f>
        <v>552</v>
      </c>
      <c r="O20" s="34">
        <f>'Tableau sortie'!Q44</f>
        <v>538</v>
      </c>
      <c r="P20" s="34">
        <f>'Tableau sortie'!R44</f>
        <v>537</v>
      </c>
      <c r="Q20" s="34">
        <f>'Tableau sortie'!S44</f>
        <v>624</v>
      </c>
      <c r="R20" s="34">
        <f>'Tableau sortie'!T44</f>
        <v>509</v>
      </c>
      <c r="S20" s="34">
        <f>'Tableau sortie'!U44</f>
        <v>599</v>
      </c>
      <c r="T20" s="34">
        <f>'Tableau sortie'!V44</f>
        <v>434</v>
      </c>
      <c r="U20" s="34">
        <f>'Tableau sortie'!W44</f>
        <v>544</v>
      </c>
      <c r="V20" s="34">
        <f>'Tableau sortie'!X44</f>
        <v>471</v>
      </c>
      <c r="W20" s="34">
        <f>'Tableau sortie'!Y44</f>
        <v>419</v>
      </c>
      <c r="X20" s="34">
        <f>'Tableau sortie'!Z44</f>
        <v>491</v>
      </c>
      <c r="Y20" s="34">
        <f>'Tableau sortie'!AA44</f>
        <v>557</v>
      </c>
      <c r="Z20" s="34">
        <f>'Tableau sortie'!AB44</f>
        <v>592</v>
      </c>
      <c r="AA20" s="34">
        <f>'Tableau sortie'!AC44</f>
        <v>551</v>
      </c>
      <c r="AB20" s="34">
        <f>'Tableau sortie'!AD44</f>
        <v>505</v>
      </c>
      <c r="AC20" s="34">
        <f>'Tableau sortie'!AE44</f>
        <v>695</v>
      </c>
      <c r="AD20" s="34">
        <f>'Tableau sortie'!AF44</f>
        <v>554</v>
      </c>
      <c r="AE20" s="34">
        <f>'Tableau sortie'!AG44</f>
        <v>480</v>
      </c>
      <c r="AF20" s="34">
        <f>'Tableau sortie'!AH44</f>
        <v>444</v>
      </c>
      <c r="AG20" s="34">
        <f>'Tableau sortie'!AI44</f>
        <v>506</v>
      </c>
      <c r="AH20" s="34">
        <f>'Tableau sortie'!AJ44</f>
        <v>508</v>
      </c>
    </row>
    <row r="21" spans="1:34" ht="12.75">
      <c r="A21" s="33" t="s">
        <v>44</v>
      </c>
      <c r="B21" s="34">
        <f>'Tableau sortie'!D45</f>
        <v>622</v>
      </c>
      <c r="C21" s="34">
        <f>'Tableau sortie'!E45</f>
        <v>572</v>
      </c>
      <c r="D21" s="34">
        <f>'Tableau sortie'!F45</f>
        <v>722</v>
      </c>
      <c r="E21" s="34">
        <f>'Tableau sortie'!G45</f>
        <v>916</v>
      </c>
      <c r="F21" s="34">
        <f>'Tableau sortie'!H45</f>
        <v>1086</v>
      </c>
      <c r="G21" s="34">
        <f>'Tableau sortie'!I45</f>
        <v>1056</v>
      </c>
      <c r="H21" s="34">
        <f>'Tableau sortie'!J45</f>
        <v>690</v>
      </c>
      <c r="I21" s="34">
        <f>'Tableau sortie'!K45</f>
        <v>574</v>
      </c>
      <c r="J21" s="34">
        <f>'Tableau sortie'!L45</f>
        <v>430</v>
      </c>
      <c r="K21" s="34">
        <f>'Tableau sortie'!M45</f>
        <v>262</v>
      </c>
      <c r="L21" s="34">
        <f>'Tableau sortie'!N45</f>
        <v>258</v>
      </c>
      <c r="M21" s="34">
        <f>'Tableau sortie'!O45</f>
        <v>471</v>
      </c>
      <c r="N21" s="34">
        <f>'Tableau sortie'!P45</f>
        <v>555</v>
      </c>
      <c r="O21" s="34">
        <f>'Tableau sortie'!Q45</f>
        <v>486</v>
      </c>
      <c r="P21" s="34">
        <f>'Tableau sortie'!R45</f>
        <v>724</v>
      </c>
      <c r="Q21" s="34">
        <f>'Tableau sortie'!S45</f>
        <v>922</v>
      </c>
      <c r="R21" s="34">
        <f>'Tableau sortie'!T45</f>
        <v>773</v>
      </c>
      <c r="S21" s="34">
        <f>'Tableau sortie'!U45</f>
        <v>807</v>
      </c>
      <c r="T21" s="34">
        <f>'Tableau sortie'!V45</f>
        <v>566</v>
      </c>
      <c r="U21" s="34">
        <f>'Tableau sortie'!W45</f>
        <v>522</v>
      </c>
      <c r="V21" s="34">
        <f>'Tableau sortie'!X45</f>
        <v>506</v>
      </c>
      <c r="W21" s="34">
        <f>'Tableau sortie'!Y45</f>
        <v>283</v>
      </c>
      <c r="X21" s="34">
        <f>'Tableau sortie'!Z45</f>
        <v>309</v>
      </c>
      <c r="Y21" s="34">
        <f>'Tableau sortie'!AA45</f>
        <v>460</v>
      </c>
      <c r="Z21" s="34">
        <f>'Tableau sortie'!AB45</f>
        <v>810</v>
      </c>
      <c r="AA21" s="34">
        <f>'Tableau sortie'!AC45</f>
        <v>784</v>
      </c>
      <c r="AB21" s="34">
        <f>'Tableau sortie'!AD45</f>
        <v>814</v>
      </c>
      <c r="AC21" s="34">
        <f>'Tableau sortie'!AE45</f>
        <v>1432</v>
      </c>
      <c r="AD21" s="34">
        <f>'Tableau sortie'!AF45</f>
        <v>1009</v>
      </c>
      <c r="AE21" s="34">
        <f>'Tableau sortie'!AG45</f>
        <v>766</v>
      </c>
      <c r="AF21" s="34">
        <f>'Tableau sortie'!AH45</f>
        <v>637</v>
      </c>
      <c r="AG21" s="34">
        <f>'Tableau sortie'!AI45</f>
        <v>608</v>
      </c>
      <c r="AH21" s="34">
        <f>'Tableau sortie'!AJ45</f>
        <v>484</v>
      </c>
    </row>
    <row r="22" spans="1:34" ht="12.75">
      <c r="A22" s="33" t="s">
        <v>45</v>
      </c>
      <c r="B22" s="34">
        <f>'Tableau sortie'!D46</f>
        <v>754</v>
      </c>
      <c r="C22" s="34">
        <f>'Tableau sortie'!E46</f>
        <v>860</v>
      </c>
      <c r="D22" s="34">
        <f>'Tableau sortie'!F46</f>
        <v>1045</v>
      </c>
      <c r="E22" s="34">
        <f>'Tableau sortie'!G46</f>
        <v>1055</v>
      </c>
      <c r="F22" s="34">
        <f>'Tableau sortie'!H46</f>
        <v>1307</v>
      </c>
      <c r="G22" s="34">
        <f>'Tableau sortie'!I46</f>
        <v>1288</v>
      </c>
      <c r="H22" s="34">
        <f>'Tableau sortie'!J46</f>
        <v>797</v>
      </c>
      <c r="I22" s="34">
        <f>'Tableau sortie'!K46</f>
        <v>678</v>
      </c>
      <c r="J22" s="34">
        <f>'Tableau sortie'!L46</f>
        <v>445</v>
      </c>
      <c r="K22" s="34">
        <f>'Tableau sortie'!M46</f>
        <v>275</v>
      </c>
      <c r="L22" s="34">
        <f>'Tableau sortie'!N46</f>
        <v>246</v>
      </c>
      <c r="M22" s="34">
        <f>'Tableau sortie'!O46</f>
        <v>483</v>
      </c>
      <c r="N22" s="34">
        <f>'Tableau sortie'!P46</f>
        <v>777</v>
      </c>
      <c r="O22" s="34">
        <f>'Tableau sortie'!Q46</f>
        <v>625</v>
      </c>
      <c r="P22" s="34">
        <f>'Tableau sortie'!R46</f>
        <v>841</v>
      </c>
      <c r="Q22" s="34">
        <f>'Tableau sortie'!S46</f>
        <v>925</v>
      </c>
      <c r="R22" s="34">
        <f>'Tableau sortie'!T46</f>
        <v>1002</v>
      </c>
      <c r="S22" s="34">
        <f>'Tableau sortie'!U46</f>
        <v>892</v>
      </c>
      <c r="T22" s="34">
        <f>'Tableau sortie'!V46</f>
        <v>632</v>
      </c>
      <c r="U22" s="34">
        <f>'Tableau sortie'!W46</f>
        <v>499</v>
      </c>
      <c r="V22" s="34">
        <f>'Tableau sortie'!X46</f>
        <v>440</v>
      </c>
      <c r="W22" s="34">
        <f>'Tableau sortie'!Y46</f>
        <v>239</v>
      </c>
      <c r="X22" s="34">
        <f>'Tableau sortie'!Z46</f>
        <v>287</v>
      </c>
      <c r="Y22" s="34">
        <f>'Tableau sortie'!AA46</f>
        <v>520</v>
      </c>
      <c r="Z22" s="34">
        <f>'Tableau sortie'!AB46</f>
        <v>876</v>
      </c>
      <c r="AA22" s="34">
        <f>'Tableau sortie'!AC46</f>
        <v>797</v>
      </c>
      <c r="AB22" s="34">
        <f>'Tableau sortie'!AD46</f>
        <v>883</v>
      </c>
      <c r="AC22" s="34">
        <f>'Tableau sortie'!AE46</f>
        <v>1404</v>
      </c>
      <c r="AD22" s="34">
        <f>'Tableau sortie'!AF46</f>
        <v>1181</v>
      </c>
      <c r="AE22" s="34">
        <f>'Tableau sortie'!AG46</f>
        <v>765</v>
      </c>
      <c r="AF22" s="34">
        <f>'Tableau sortie'!AH46</f>
        <v>636</v>
      </c>
      <c r="AG22" s="34">
        <f>'Tableau sortie'!AI46</f>
        <v>511</v>
      </c>
      <c r="AH22" s="34">
        <f>'Tableau sortie'!AJ46</f>
        <v>483</v>
      </c>
    </row>
    <row r="23" spans="1:34" ht="12.75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ht="12.75">
      <c r="A24" s="31" t="s">
        <v>113</v>
      </c>
    </row>
    <row r="25" spans="1:34" ht="13.5" thickBot="1">
      <c r="A25" s="32"/>
      <c r="B25" s="67" t="s">
        <v>80</v>
      </c>
      <c r="C25" s="67" t="s">
        <v>81</v>
      </c>
      <c r="D25" s="67" t="s">
        <v>82</v>
      </c>
      <c r="E25" s="67" t="s">
        <v>83</v>
      </c>
      <c r="F25" s="67" t="s">
        <v>84</v>
      </c>
      <c r="G25" s="67" t="s">
        <v>85</v>
      </c>
      <c r="H25" s="67" t="s">
        <v>86</v>
      </c>
      <c r="I25" s="67" t="s">
        <v>87</v>
      </c>
      <c r="J25" s="67" t="s">
        <v>88</v>
      </c>
      <c r="K25" s="67" t="s">
        <v>89</v>
      </c>
      <c r="L25" s="67" t="s">
        <v>90</v>
      </c>
      <c r="M25" s="67" t="s">
        <v>91</v>
      </c>
      <c r="N25" s="67" t="s">
        <v>92</v>
      </c>
      <c r="O25" s="67" t="s">
        <v>93</v>
      </c>
      <c r="P25" s="67" t="s">
        <v>94</v>
      </c>
      <c r="Q25" s="67" t="s">
        <v>95</v>
      </c>
      <c r="R25" s="67" t="s">
        <v>96</v>
      </c>
      <c r="S25" s="67" t="s">
        <v>97</v>
      </c>
      <c r="T25" s="67" t="s">
        <v>98</v>
      </c>
      <c r="U25" s="67" t="s">
        <v>99</v>
      </c>
      <c r="V25" s="67" t="s">
        <v>100</v>
      </c>
      <c r="W25" s="67" t="s">
        <v>101</v>
      </c>
      <c r="X25" s="67" t="s">
        <v>102</v>
      </c>
      <c r="Y25" s="67" t="s">
        <v>103</v>
      </c>
      <c r="Z25" s="67" t="s">
        <v>104</v>
      </c>
      <c r="AA25" s="67" t="s">
        <v>105</v>
      </c>
      <c r="AB25" s="67" t="s">
        <v>106</v>
      </c>
      <c r="AC25" s="67" t="s">
        <v>107</v>
      </c>
      <c r="AD25" s="67" t="s">
        <v>108</v>
      </c>
      <c r="AE25" s="67" t="s">
        <v>109</v>
      </c>
      <c r="AF25" s="67" t="s">
        <v>110</v>
      </c>
      <c r="AG25" s="67" t="s">
        <v>114</v>
      </c>
      <c r="AH25" s="67" t="s">
        <v>115</v>
      </c>
    </row>
    <row r="26" spans="1:34" ht="13.5" thickTop="1">
      <c r="A26" s="33" t="s">
        <v>26</v>
      </c>
      <c r="B26" s="36">
        <f aca="true" t="shared" si="0" ref="B26:AB35">B4/B$46</f>
        <v>0.15077926785067053</v>
      </c>
      <c r="C26" s="36">
        <f t="shared" si="0"/>
        <v>0.15366239746726149</v>
      </c>
      <c r="D26" s="36">
        <f t="shared" si="0"/>
        <v>0.1481532588197415</v>
      </c>
      <c r="E26" s="36">
        <f t="shared" si="0"/>
        <v>0.14755814669595385</v>
      </c>
      <c r="F26" s="36">
        <f t="shared" si="0"/>
        <v>0.1515882463504793</v>
      </c>
      <c r="G26" s="36">
        <f t="shared" si="0"/>
        <v>0.1427277108433735</v>
      </c>
      <c r="H26" s="36">
        <f t="shared" si="0"/>
        <v>0.1412206152775707</v>
      </c>
      <c r="I26" s="36">
        <f t="shared" si="0"/>
        <v>0.1498928640997338</v>
      </c>
      <c r="J26" s="36">
        <f t="shared" si="0"/>
        <v>0.16586605402394877</v>
      </c>
      <c r="K26" s="36">
        <f t="shared" si="0"/>
        <v>0.1745100777358842</v>
      </c>
      <c r="L26" s="36">
        <f t="shared" si="0"/>
        <v>0.17130779392338177</v>
      </c>
      <c r="M26" s="36">
        <f t="shared" si="0"/>
        <v>0.1707325081262107</v>
      </c>
      <c r="N26" s="36">
        <f t="shared" si="0"/>
        <v>0.16550098231827112</v>
      </c>
      <c r="O26" s="36">
        <f t="shared" si="0"/>
        <v>0.19055892573178632</v>
      </c>
      <c r="P26" s="36">
        <f t="shared" si="0"/>
        <v>0.18216616971552904</v>
      </c>
      <c r="Q26" s="36">
        <f t="shared" si="0"/>
        <v>0.1670425927953575</v>
      </c>
      <c r="R26" s="36">
        <f t="shared" si="0"/>
        <v>0.17289626622084228</v>
      </c>
      <c r="S26" s="36">
        <f t="shared" si="0"/>
        <v>0.17485522982265653</v>
      </c>
      <c r="T26" s="36">
        <f t="shared" si="0"/>
        <v>0.18452842735232183</v>
      </c>
      <c r="U26" s="36">
        <f t="shared" si="0"/>
        <v>0.18241074678225191</v>
      </c>
      <c r="V26" s="36">
        <f t="shared" si="0"/>
        <v>0.190265187390069</v>
      </c>
      <c r="W26" s="36">
        <f t="shared" si="0"/>
        <v>0.19061698334710206</v>
      </c>
      <c r="X26" s="36">
        <f t="shared" si="0"/>
        <v>0.1743278019345106</v>
      </c>
      <c r="Y26" s="36">
        <f t="shared" si="0"/>
        <v>0.19133758831359432</v>
      </c>
      <c r="Z26" s="36">
        <f t="shared" si="0"/>
        <v>0.1792209586076707</v>
      </c>
      <c r="AA26" s="36">
        <f t="shared" si="0"/>
        <v>0.1767180925666199</v>
      </c>
      <c r="AB26" s="36">
        <f t="shared" si="0"/>
        <v>0.17971603360116872</v>
      </c>
      <c r="AC26" s="36">
        <f aca="true" t="shared" si="1" ref="AC26:AD34">AC4/AC$46</f>
        <v>0.19913518065655011</v>
      </c>
      <c r="AD26" s="36">
        <f t="shared" si="1"/>
        <v>0.2376001890187383</v>
      </c>
      <c r="AE26" s="36">
        <f aca="true" t="shared" si="2" ref="AE26:AF44">AE4/AE$46</f>
        <v>0.2541660011712719</v>
      </c>
      <c r="AF26" s="36">
        <f t="shared" si="2"/>
        <v>0.26105587358976934</v>
      </c>
      <c r="AG26" s="36">
        <f aca="true" t="shared" si="3" ref="AG26:AH44">AG4/AG$46</f>
        <v>0.2760456034265558</v>
      </c>
      <c r="AH26" s="36">
        <f t="shared" si="3"/>
        <v>0.2811867604184531</v>
      </c>
    </row>
    <row r="27" spans="1:34" ht="12.75">
      <c r="A27" s="33" t="s">
        <v>27</v>
      </c>
      <c r="B27" s="36">
        <f t="shared" si="0"/>
        <v>0.12287060529177238</v>
      </c>
      <c r="C27" s="36">
        <f t="shared" si="0"/>
        <v>0.12375881421787308</v>
      </c>
      <c r="D27" s="36">
        <f t="shared" si="0"/>
        <v>0.12280943838829861</v>
      </c>
      <c r="E27" s="36">
        <f t="shared" si="0"/>
        <v>0.12267772463202842</v>
      </c>
      <c r="F27" s="36">
        <f t="shared" si="0"/>
        <v>0.11842929640999937</v>
      </c>
      <c r="G27" s="36">
        <f t="shared" si="0"/>
        <v>0.12967710843373495</v>
      </c>
      <c r="H27" s="36">
        <f t="shared" si="0"/>
        <v>0.14054967446945976</v>
      </c>
      <c r="I27" s="36">
        <f t="shared" si="0"/>
        <v>0.14210116226219077</v>
      </c>
      <c r="J27" s="36">
        <f t="shared" si="0"/>
        <v>0.14710387078808132</v>
      </c>
      <c r="K27" s="36">
        <f t="shared" si="0"/>
        <v>0.16184890378438765</v>
      </c>
      <c r="L27" s="36">
        <f t="shared" si="0"/>
        <v>0.16977542932628797</v>
      </c>
      <c r="M27" s="36">
        <f t="shared" si="0"/>
        <v>0.1408871523787635</v>
      </c>
      <c r="N27" s="36">
        <f t="shared" si="0"/>
        <v>0.1321545514079895</v>
      </c>
      <c r="O27" s="36">
        <f t="shared" si="0"/>
        <v>0.14164556216502738</v>
      </c>
      <c r="P27" s="36">
        <f t="shared" si="0"/>
        <v>0.1428398742847933</v>
      </c>
      <c r="Q27" s="36">
        <f t="shared" si="0"/>
        <v>0.14334829738311616</v>
      </c>
      <c r="R27" s="36">
        <f t="shared" si="0"/>
        <v>0.14363904147758935</v>
      </c>
      <c r="S27" s="36">
        <f t="shared" si="0"/>
        <v>0.1414676076728194</v>
      </c>
      <c r="T27" s="36">
        <f t="shared" si="0"/>
        <v>0.1491743322619971</v>
      </c>
      <c r="U27" s="36">
        <f t="shared" si="0"/>
        <v>0.15418720841743044</v>
      </c>
      <c r="V27" s="36">
        <f t="shared" si="0"/>
        <v>0.1515694763902043</v>
      </c>
      <c r="W27" s="36">
        <f t="shared" si="0"/>
        <v>0.16592025740249577</v>
      </c>
      <c r="X27" s="36">
        <f t="shared" si="0"/>
        <v>0.17925281746383884</v>
      </c>
      <c r="Y27" s="36">
        <f t="shared" si="0"/>
        <v>0.14747943615823067</v>
      </c>
      <c r="Z27" s="36">
        <f t="shared" si="0"/>
        <v>0.1411436990653345</v>
      </c>
      <c r="AA27" s="36">
        <f t="shared" si="0"/>
        <v>0.1434809071422901</v>
      </c>
      <c r="AB27" s="36">
        <f t="shared" si="0"/>
        <v>0.14408327246165084</v>
      </c>
      <c r="AC27" s="36">
        <f t="shared" si="1"/>
        <v>0.16245323659449043</v>
      </c>
      <c r="AD27" s="36">
        <f t="shared" si="1"/>
        <v>0.17284309627233238</v>
      </c>
      <c r="AE27" s="36">
        <f t="shared" si="2"/>
        <v>0.18093488793057552</v>
      </c>
      <c r="AF27" s="36">
        <f t="shared" si="2"/>
        <v>0.19132268755649293</v>
      </c>
      <c r="AG27" s="36">
        <f t="shared" si="3"/>
        <v>0.19066515495086925</v>
      </c>
      <c r="AH27" s="36">
        <f t="shared" si="3"/>
        <v>0.1799691305093466</v>
      </c>
    </row>
    <row r="28" spans="1:34" ht="12.75">
      <c r="A28" s="33" t="s">
        <v>30</v>
      </c>
      <c r="B28" s="36">
        <f t="shared" si="0"/>
        <v>0.009760265106405012</v>
      </c>
      <c r="C28" s="36">
        <f t="shared" si="0"/>
        <v>0.010303640811627572</v>
      </c>
      <c r="D28" s="36">
        <f t="shared" si="0"/>
        <v>0.009429189089738282</v>
      </c>
      <c r="E28" s="36">
        <f t="shared" si="0"/>
        <v>0.011372734177734897</v>
      </c>
      <c r="F28" s="36">
        <f t="shared" si="0"/>
        <v>0.010228055886222668</v>
      </c>
      <c r="G28" s="36">
        <f t="shared" si="0"/>
        <v>0.008693975903614457</v>
      </c>
      <c r="H28" s="36">
        <f t="shared" si="0"/>
        <v>0.008200387654689131</v>
      </c>
      <c r="I28" s="36">
        <f t="shared" si="0"/>
        <v>0.0072073241997272905</v>
      </c>
      <c r="J28" s="36">
        <f t="shared" si="0"/>
        <v>0.007101086048454469</v>
      </c>
      <c r="K28" s="36">
        <f t="shared" si="0"/>
        <v>0.006051296373877019</v>
      </c>
      <c r="L28" s="36">
        <f t="shared" si="0"/>
        <v>0.0077146631439894316</v>
      </c>
      <c r="M28" s="36">
        <f t="shared" si="0"/>
        <v>0.009160455724463999</v>
      </c>
      <c r="N28" s="36">
        <f t="shared" si="0"/>
        <v>0.008303863785199738</v>
      </c>
      <c r="O28" s="36">
        <f t="shared" si="0"/>
        <v>0.00839272041934154</v>
      </c>
      <c r="P28" s="36">
        <f t="shared" si="0"/>
        <v>0.01019421387702474</v>
      </c>
      <c r="Q28" s="36">
        <f t="shared" si="0"/>
        <v>0.008890835431950071</v>
      </c>
      <c r="R28" s="36">
        <f t="shared" si="0"/>
        <v>0.0109863864342011</v>
      </c>
      <c r="S28" s="36">
        <f t="shared" si="0"/>
        <v>0.009500542888165039</v>
      </c>
      <c r="T28" s="36">
        <f t="shared" si="0"/>
        <v>0.007896486756067826</v>
      </c>
      <c r="U28" s="36">
        <f t="shared" si="0"/>
        <v>0.007709360420871522</v>
      </c>
      <c r="V28" s="36">
        <f t="shared" si="0"/>
        <v>0.007542957651197402</v>
      </c>
      <c r="W28" s="36">
        <f t="shared" si="0"/>
        <v>0.008043827992521414</v>
      </c>
      <c r="X28" s="36">
        <f t="shared" si="0"/>
        <v>0.008696423817552578</v>
      </c>
      <c r="Y28" s="36">
        <f t="shared" si="0"/>
        <v>0.007406396122734565</v>
      </c>
      <c r="Z28" s="36">
        <f t="shared" si="0"/>
        <v>0.008333717021962337</v>
      </c>
      <c r="AA28" s="36">
        <f t="shared" si="0"/>
        <v>0.008388684537828468</v>
      </c>
      <c r="AB28" s="36">
        <f t="shared" si="0"/>
        <v>0.00931336742147553</v>
      </c>
      <c r="AC28" s="36">
        <f t="shared" si="1"/>
        <v>0.009069266523069946</v>
      </c>
      <c r="AD28" s="36">
        <f t="shared" si="1"/>
        <v>0.007815197833554461</v>
      </c>
      <c r="AE28" s="36">
        <f t="shared" si="2"/>
        <v>0.007985944737262418</v>
      </c>
      <c r="AF28" s="36">
        <f t="shared" si="2"/>
        <v>0.005122024706236818</v>
      </c>
      <c r="AG28" s="36">
        <f t="shared" si="3"/>
        <v>0.0061413454270597126</v>
      </c>
      <c r="AH28" s="36">
        <f t="shared" si="3"/>
        <v>0.006311095866918196</v>
      </c>
    </row>
    <row r="29" spans="1:34" ht="12.75">
      <c r="A29" s="33" t="s">
        <v>31</v>
      </c>
      <c r="B29" s="36">
        <f t="shared" si="0"/>
        <v>0.012271526950758557</v>
      </c>
      <c r="C29" s="36">
        <f t="shared" si="0"/>
        <v>0.011972945747589581</v>
      </c>
      <c r="D29" s="36">
        <f t="shared" si="0"/>
        <v>0.010395106020882203</v>
      </c>
      <c r="E29" s="36">
        <f t="shared" si="0"/>
        <v>0.012152813417362922</v>
      </c>
      <c r="F29" s="36">
        <f t="shared" si="0"/>
        <v>0.012201616440072676</v>
      </c>
      <c r="G29" s="36">
        <f t="shared" si="0"/>
        <v>0.010081927710843373</v>
      </c>
      <c r="H29" s="36">
        <f t="shared" si="0"/>
        <v>0.01066050395109587</v>
      </c>
      <c r="I29" s="36">
        <f t="shared" si="0"/>
        <v>0.009090318810466853</v>
      </c>
      <c r="J29" s="36">
        <f t="shared" si="0"/>
        <v>0.008945976051239209</v>
      </c>
      <c r="K29" s="36">
        <f t="shared" si="0"/>
        <v>0.008332169622492204</v>
      </c>
      <c r="L29" s="36">
        <f t="shared" si="0"/>
        <v>0.006869220607661823</v>
      </c>
      <c r="M29" s="36">
        <f t="shared" si="0"/>
        <v>0.008930623501986408</v>
      </c>
      <c r="N29" s="36">
        <f t="shared" si="0"/>
        <v>0.01068762278978389</v>
      </c>
      <c r="O29" s="36">
        <f t="shared" si="0"/>
        <v>0.010100712645032098</v>
      </c>
      <c r="P29" s="36">
        <f t="shared" si="0"/>
        <v>0.010274800547989363</v>
      </c>
      <c r="Q29" s="36">
        <f t="shared" si="0"/>
        <v>0.008452863243184058</v>
      </c>
      <c r="R29" s="36">
        <f t="shared" si="0"/>
        <v>0.009553379508000955</v>
      </c>
      <c r="S29" s="36">
        <f t="shared" si="0"/>
        <v>0.008821932681867536</v>
      </c>
      <c r="T29" s="36">
        <f t="shared" si="0"/>
        <v>0.008284384351102738</v>
      </c>
      <c r="U29" s="36">
        <f t="shared" si="0"/>
        <v>0.007345399199285313</v>
      </c>
      <c r="V29" s="36">
        <f t="shared" si="0"/>
        <v>0.008151806250845623</v>
      </c>
      <c r="W29" s="36">
        <f t="shared" si="0"/>
        <v>0.006565502847949911</v>
      </c>
      <c r="X29" s="36">
        <f t="shared" si="0"/>
        <v>0.0046144289644156535</v>
      </c>
      <c r="Y29" s="36">
        <f t="shared" si="0"/>
        <v>0.007235741834192293</v>
      </c>
      <c r="Z29" s="36">
        <f t="shared" si="0"/>
        <v>0.006998480593029145</v>
      </c>
      <c r="AA29" s="36">
        <f t="shared" si="0"/>
        <v>0.00423403635978724</v>
      </c>
      <c r="AB29" s="36">
        <f t="shared" si="0"/>
        <v>0.00404035792549306</v>
      </c>
      <c r="AC29" s="36">
        <f t="shared" si="1"/>
        <v>0.0035305358964808006</v>
      </c>
      <c r="AD29" s="36">
        <f t="shared" si="1"/>
        <v>0.002471783500845132</v>
      </c>
      <c r="AE29" s="36">
        <f t="shared" si="2"/>
        <v>0.0018900069211521056</v>
      </c>
      <c r="AF29" s="36">
        <f t="shared" si="2"/>
        <v>0.0013056141408054635</v>
      </c>
      <c r="AG29" s="36">
        <f t="shared" si="3"/>
        <v>0.0014487276392038298</v>
      </c>
      <c r="AH29" s="36">
        <f t="shared" si="3"/>
        <v>0.0012690790601955068</v>
      </c>
    </row>
    <row r="30" spans="1:34" ht="12.75">
      <c r="A30" s="33" t="s">
        <v>33</v>
      </c>
      <c r="B30" s="36">
        <f t="shared" si="0"/>
        <v>0.07906591415108993</v>
      </c>
      <c r="C30" s="36">
        <f t="shared" si="0"/>
        <v>0.07172255000719528</v>
      </c>
      <c r="D30" s="36">
        <f t="shared" si="0"/>
        <v>0.07345568281127823</v>
      </c>
      <c r="E30" s="36">
        <f t="shared" si="0"/>
        <v>0.07499024900950466</v>
      </c>
      <c r="F30" s="36">
        <f t="shared" si="0"/>
        <v>0.07908339076498966</v>
      </c>
      <c r="G30" s="36">
        <f t="shared" si="0"/>
        <v>0.07587469879518072</v>
      </c>
      <c r="H30" s="36">
        <f t="shared" si="0"/>
        <v>0.0700511902986929</v>
      </c>
      <c r="I30" s="36">
        <f t="shared" si="0"/>
        <v>0.06710603207583923</v>
      </c>
      <c r="J30" s="36">
        <f t="shared" si="0"/>
        <v>0.057783347257031464</v>
      </c>
      <c r="K30" s="36">
        <f t="shared" si="0"/>
        <v>0.04650188521156263</v>
      </c>
      <c r="L30" s="36">
        <f t="shared" si="0"/>
        <v>0.04956406869220608</v>
      </c>
      <c r="M30" s="36">
        <f t="shared" si="0"/>
        <v>0.056768558951965066</v>
      </c>
      <c r="N30" s="36">
        <f t="shared" si="0"/>
        <v>0.0543811394891945</v>
      </c>
      <c r="O30" s="36">
        <f t="shared" si="0"/>
        <v>0.054979680782142645</v>
      </c>
      <c r="P30" s="36">
        <f t="shared" si="0"/>
        <v>0.057619469739705054</v>
      </c>
      <c r="Q30" s="36">
        <f t="shared" si="0"/>
        <v>0.06131610642724187</v>
      </c>
      <c r="R30" s="36">
        <f t="shared" si="0"/>
        <v>0.05419552583393042</v>
      </c>
      <c r="S30" s="36">
        <f t="shared" si="0"/>
        <v>0.05213988418385813</v>
      </c>
      <c r="T30" s="36">
        <f t="shared" si="0"/>
        <v>0.047711404189294024</v>
      </c>
      <c r="U30" s="36">
        <f t="shared" si="0"/>
        <v>0.045627502233398405</v>
      </c>
      <c r="V30" s="36">
        <f t="shared" si="0"/>
        <v>0.041164930320660265</v>
      </c>
      <c r="W30" s="36">
        <f t="shared" si="0"/>
        <v>0.03582764468020349</v>
      </c>
      <c r="X30" s="36">
        <f t="shared" si="0"/>
        <v>0.04121927411482829</v>
      </c>
      <c r="Y30" s="36">
        <f t="shared" si="0"/>
        <v>0.042595310420150856</v>
      </c>
      <c r="Z30" s="36">
        <f t="shared" si="0"/>
        <v>0.043625397117731016</v>
      </c>
      <c r="AA30" s="36">
        <f t="shared" si="0"/>
        <v>0.046071608139934904</v>
      </c>
      <c r="AB30" s="36">
        <f t="shared" si="0"/>
        <v>0.04613312636961286</v>
      </c>
      <c r="AC30" s="36">
        <f t="shared" si="1"/>
        <v>0.047111600563590136</v>
      </c>
      <c r="AD30" s="36">
        <f t="shared" si="1"/>
        <v>0.04209301902909798</v>
      </c>
      <c r="AE30" s="36">
        <f t="shared" si="2"/>
        <v>0.038439014002023104</v>
      </c>
      <c r="AF30" s="36">
        <f t="shared" si="2"/>
        <v>0.040038833651367546</v>
      </c>
      <c r="AG30" s="36">
        <f t="shared" si="3"/>
        <v>0.034013605442176874</v>
      </c>
      <c r="AH30" s="36">
        <f t="shared" si="3"/>
        <v>0.03299605556508318</v>
      </c>
    </row>
    <row r="31" spans="1:34" ht="12.75">
      <c r="A31" s="33" t="s">
        <v>32</v>
      </c>
      <c r="B31" s="36">
        <f t="shared" si="0"/>
        <v>0.031196603324185782</v>
      </c>
      <c r="C31" s="36">
        <f t="shared" si="0"/>
        <v>0.029846021010217296</v>
      </c>
      <c r="D31" s="36">
        <f t="shared" si="0"/>
        <v>0.030633365530564373</v>
      </c>
      <c r="E31" s="36">
        <f t="shared" si="0"/>
        <v>0.028760289861022723</v>
      </c>
      <c r="F31" s="36">
        <f t="shared" si="0"/>
        <v>0.029462439696760854</v>
      </c>
      <c r="G31" s="36">
        <f t="shared" si="0"/>
        <v>0.02982168674698795</v>
      </c>
      <c r="H31" s="36">
        <f t="shared" si="0"/>
        <v>0.031310571045176684</v>
      </c>
      <c r="I31" s="36">
        <f t="shared" si="0"/>
        <v>0.0285046425556782</v>
      </c>
      <c r="J31" s="36">
        <f t="shared" si="0"/>
        <v>0.028265107212475632</v>
      </c>
      <c r="K31" s="36">
        <f t="shared" si="0"/>
        <v>0.026765349345994508</v>
      </c>
      <c r="L31" s="36">
        <f t="shared" si="0"/>
        <v>0.01854689564068692</v>
      </c>
      <c r="M31" s="36">
        <f t="shared" si="0"/>
        <v>0.028203697015464425</v>
      </c>
      <c r="N31" s="36">
        <f t="shared" si="0"/>
        <v>0.03172233136869679</v>
      </c>
      <c r="O31" s="36">
        <f t="shared" si="0"/>
        <v>0.030508274927852054</v>
      </c>
      <c r="P31" s="36">
        <f t="shared" si="0"/>
        <v>0.03356434845676525</v>
      </c>
      <c r="Q31" s="36">
        <f t="shared" si="0"/>
        <v>0.02986970327384211</v>
      </c>
      <c r="R31" s="36">
        <f t="shared" si="0"/>
        <v>0.03407372024520341</v>
      </c>
      <c r="S31" s="36">
        <f t="shared" si="0"/>
        <v>0.03246018820123055</v>
      </c>
      <c r="T31" s="36">
        <f t="shared" si="0"/>
        <v>0.03211237947467583</v>
      </c>
      <c r="U31" s="36">
        <f t="shared" si="0"/>
        <v>0.024683188300301095</v>
      </c>
      <c r="V31" s="36">
        <f t="shared" si="0"/>
        <v>0.0253686916520092</v>
      </c>
      <c r="W31" s="36">
        <f t="shared" si="0"/>
        <v>0.021957476412017913</v>
      </c>
      <c r="X31" s="36">
        <f t="shared" si="0"/>
        <v>0.02023249622859171</v>
      </c>
      <c r="Y31" s="36">
        <f t="shared" si="0"/>
        <v>0.025632274139049116</v>
      </c>
      <c r="Z31" s="36">
        <f t="shared" si="0"/>
        <v>0.029996777015516368</v>
      </c>
      <c r="AA31" s="36">
        <f t="shared" si="0"/>
        <v>0.028262192701579824</v>
      </c>
      <c r="AB31" s="36">
        <f t="shared" si="0"/>
        <v>0.03419466764061359</v>
      </c>
      <c r="AC31" s="36">
        <f t="shared" si="1"/>
        <v>0.02963706738788929</v>
      </c>
      <c r="AD31" s="36">
        <f t="shared" si="1"/>
        <v>0.028952581741516874</v>
      </c>
      <c r="AE31" s="36">
        <f t="shared" si="2"/>
        <v>0.023957834211787255</v>
      </c>
      <c r="AF31" s="36">
        <f t="shared" si="2"/>
        <v>0.020186803253992167</v>
      </c>
      <c r="AG31" s="36">
        <f t="shared" si="3"/>
        <v>0.021541950113378686</v>
      </c>
      <c r="AH31" s="36">
        <f t="shared" si="3"/>
        <v>0.02040816326530612</v>
      </c>
    </row>
    <row r="32" spans="1:34" ht="12.75">
      <c r="A32" s="33" t="s">
        <v>36</v>
      </c>
      <c r="B32" s="36">
        <f t="shared" si="0"/>
        <v>0.01755294361311034</v>
      </c>
      <c r="C32" s="36">
        <f t="shared" si="0"/>
        <v>0.01744135846884444</v>
      </c>
      <c r="D32" s="36">
        <f t="shared" si="0"/>
        <v>0.01842141575824479</v>
      </c>
      <c r="E32" s="36">
        <f t="shared" si="0"/>
        <v>0.017962350912487428</v>
      </c>
      <c r="F32" s="36">
        <f t="shared" si="0"/>
        <v>0.01859219347158699</v>
      </c>
      <c r="G32" s="36">
        <f t="shared" si="0"/>
        <v>0.018236144578313254</v>
      </c>
      <c r="H32" s="36">
        <f t="shared" si="0"/>
        <v>0.016400775309378262</v>
      </c>
      <c r="I32" s="36">
        <f t="shared" si="0"/>
        <v>0.015356145704824362</v>
      </c>
      <c r="J32" s="36">
        <f t="shared" si="0"/>
        <v>0.011974380395433026</v>
      </c>
      <c r="K32" s="36">
        <f t="shared" si="0"/>
        <v>0.010380300702881349</v>
      </c>
      <c r="L32" s="36">
        <f t="shared" si="0"/>
        <v>0.013527080581241744</v>
      </c>
      <c r="M32" s="36">
        <f t="shared" si="0"/>
        <v>0.013034770331943396</v>
      </c>
      <c r="N32" s="36">
        <f t="shared" si="0"/>
        <v>0.013228552717747217</v>
      </c>
      <c r="O32" s="36">
        <f t="shared" si="0"/>
        <v>0.012250426998056422</v>
      </c>
      <c r="P32" s="36">
        <f t="shared" si="0"/>
        <v>0.012390200660810702</v>
      </c>
      <c r="Q32" s="36">
        <f t="shared" si="0"/>
        <v>0.014891054418044454</v>
      </c>
      <c r="R32" s="36">
        <f t="shared" si="0"/>
        <v>0.013175702571451318</v>
      </c>
      <c r="S32" s="36">
        <f t="shared" si="0"/>
        <v>0.0125542888165038</v>
      </c>
      <c r="T32" s="36">
        <f t="shared" si="0"/>
        <v>0.01147068602460379</v>
      </c>
      <c r="U32" s="36">
        <f t="shared" si="0"/>
        <v>0.012374681533931111</v>
      </c>
      <c r="V32" s="36">
        <f t="shared" si="0"/>
        <v>0.010113651738601001</v>
      </c>
      <c r="W32" s="36">
        <f t="shared" si="0"/>
        <v>0.007739466933344928</v>
      </c>
      <c r="X32" s="36">
        <f t="shared" si="0"/>
        <v>0.010071878605022629</v>
      </c>
      <c r="Y32" s="36">
        <f t="shared" si="0"/>
        <v>0.011775145909416704</v>
      </c>
      <c r="Z32" s="36">
        <f t="shared" si="0"/>
        <v>0.012339426308761914</v>
      </c>
      <c r="AA32" s="36">
        <f t="shared" si="0"/>
        <v>0.013681229987562517</v>
      </c>
      <c r="AB32" s="36">
        <f t="shared" si="0"/>
        <v>0.012121073776479183</v>
      </c>
      <c r="AC32" s="36">
        <f t="shared" si="1"/>
        <v>0.013879216804055258</v>
      </c>
      <c r="AD32" s="36">
        <f t="shared" si="1"/>
        <v>0.012122644081350756</v>
      </c>
      <c r="AE32" s="36">
        <f t="shared" si="2"/>
        <v>0.011499760421657882</v>
      </c>
      <c r="AF32" s="36">
        <f t="shared" si="2"/>
        <v>0.011348799839309028</v>
      </c>
      <c r="AG32" s="36">
        <f t="shared" si="3"/>
        <v>0.009605694129503654</v>
      </c>
      <c r="AH32" s="36">
        <f t="shared" si="3"/>
        <v>0.010118333047504716</v>
      </c>
    </row>
    <row r="33" spans="1:34" ht="12.75">
      <c r="A33" s="33" t="s">
        <v>37</v>
      </c>
      <c r="B33" s="36">
        <f t="shared" si="0"/>
        <v>0.02301558535701341</v>
      </c>
      <c r="C33" s="36">
        <f t="shared" si="0"/>
        <v>0.022593178874658223</v>
      </c>
      <c r="D33" s="36">
        <f t="shared" si="0"/>
        <v>0.022193091394140104</v>
      </c>
      <c r="E33" s="36">
        <f t="shared" si="0"/>
        <v>0.026625336152567076</v>
      </c>
      <c r="F33" s="36">
        <f t="shared" si="0"/>
        <v>0.02722260509993108</v>
      </c>
      <c r="G33" s="36">
        <f t="shared" si="0"/>
        <v>0.03051566265060241</v>
      </c>
      <c r="H33" s="36">
        <f t="shared" si="0"/>
        <v>0.023930222155956464</v>
      </c>
      <c r="I33" s="36">
        <f t="shared" si="0"/>
        <v>0.025550288942276476</v>
      </c>
      <c r="J33" s="36">
        <f t="shared" si="0"/>
        <v>0.024296853244221664</v>
      </c>
      <c r="K33" s="36">
        <f t="shared" si="0"/>
        <v>0.023134571521668295</v>
      </c>
      <c r="L33" s="36">
        <f t="shared" si="0"/>
        <v>0.02546895640686922</v>
      </c>
      <c r="M33" s="36">
        <f t="shared" si="0"/>
        <v>0.020980398594740126</v>
      </c>
      <c r="N33" s="36">
        <f t="shared" si="0"/>
        <v>0.022763588736083824</v>
      </c>
      <c r="O33" s="36">
        <f t="shared" si="0"/>
        <v>0.024589198421579597</v>
      </c>
      <c r="P33" s="36">
        <f t="shared" si="0"/>
        <v>0.021274881134660327</v>
      </c>
      <c r="Q33" s="36">
        <f t="shared" si="0"/>
        <v>0.02853388809810577</v>
      </c>
      <c r="R33" s="36">
        <f t="shared" si="0"/>
        <v>0.02249024759175225</v>
      </c>
      <c r="S33" s="36">
        <f t="shared" si="0"/>
        <v>0.02574194715888527</v>
      </c>
      <c r="T33" s="36">
        <f t="shared" si="0"/>
        <v>0.02202704200376815</v>
      </c>
      <c r="U33" s="36">
        <f t="shared" si="0"/>
        <v>0.025245673824570693</v>
      </c>
      <c r="V33" s="36">
        <f t="shared" si="0"/>
        <v>0.022425923420376134</v>
      </c>
      <c r="W33" s="36">
        <f t="shared" si="0"/>
        <v>0.022566198530370885</v>
      </c>
      <c r="X33" s="36">
        <f t="shared" si="0"/>
        <v>0.023604578933356997</v>
      </c>
      <c r="Y33" s="36">
        <f t="shared" si="0"/>
        <v>0.02324311409945732</v>
      </c>
      <c r="Z33" s="36">
        <f t="shared" si="0"/>
        <v>0.021409825498411528</v>
      </c>
      <c r="AA33" s="36">
        <f t="shared" si="0"/>
        <v>0.02323427452433248</v>
      </c>
      <c r="AB33" s="36">
        <f t="shared" si="0"/>
        <v>0.020338750913075236</v>
      </c>
      <c r="AC33" s="36">
        <f t="shared" si="1"/>
        <v>0.026981067906133093</v>
      </c>
      <c r="AD33" s="36">
        <f t="shared" si="1"/>
        <v>0.02442703694952836</v>
      </c>
      <c r="AE33" s="36">
        <f t="shared" si="2"/>
        <v>0.022600223606452644</v>
      </c>
      <c r="AF33" s="36">
        <f t="shared" si="2"/>
        <v>0.023634963677145057</v>
      </c>
      <c r="AG33" s="36">
        <f t="shared" si="3"/>
        <v>0.02245527840765936</v>
      </c>
      <c r="AH33" s="36">
        <f t="shared" si="3"/>
        <v>0.021402846853026927</v>
      </c>
    </row>
    <row r="34" spans="1:34" ht="12.75">
      <c r="A34" s="33" t="s">
        <v>34</v>
      </c>
      <c r="B34" s="36">
        <f t="shared" si="0"/>
        <v>0.04556516336146637</v>
      </c>
      <c r="C34" s="36">
        <f t="shared" si="0"/>
        <v>0.04423658080299324</v>
      </c>
      <c r="D34" s="36">
        <f t="shared" si="0"/>
        <v>0.042247366726461524</v>
      </c>
      <c r="E34" s="36">
        <f t="shared" si="0"/>
        <v>0.04549093671093959</v>
      </c>
      <c r="F34" s="36">
        <f t="shared" si="0"/>
        <v>0.04445210199862164</v>
      </c>
      <c r="G34" s="36">
        <f t="shared" si="0"/>
        <v>0.04368192771084337</v>
      </c>
      <c r="H34" s="36">
        <f t="shared" si="0"/>
        <v>0.048357437503106206</v>
      </c>
      <c r="I34" s="36">
        <f t="shared" si="0"/>
        <v>0.04746445036036621</v>
      </c>
      <c r="J34" s="36">
        <f t="shared" si="0"/>
        <v>0.05026455026455026</v>
      </c>
      <c r="K34" s="36">
        <f t="shared" si="0"/>
        <v>0.05362379555927943</v>
      </c>
      <c r="L34" s="36">
        <f t="shared" si="0"/>
        <v>0.05062087186261559</v>
      </c>
      <c r="M34" s="36">
        <f t="shared" si="0"/>
        <v>0.04573661227304068</v>
      </c>
      <c r="N34" s="36">
        <f t="shared" si="0"/>
        <v>0.043483955468238376</v>
      </c>
      <c r="O34" s="36">
        <f t="shared" si="0"/>
        <v>0.04013781730372813</v>
      </c>
      <c r="P34" s="36">
        <f t="shared" si="0"/>
        <v>0.03892336207591265</v>
      </c>
      <c r="Q34" s="36">
        <f t="shared" si="0"/>
        <v>0.03759991240556225</v>
      </c>
      <c r="R34" s="36">
        <f t="shared" si="0"/>
        <v>0.04107953188440411</v>
      </c>
      <c r="S34" s="36">
        <f t="shared" si="0"/>
        <v>0.041033297140788995</v>
      </c>
      <c r="T34" s="36">
        <f t="shared" si="0"/>
        <v>0.04247478665632273</v>
      </c>
      <c r="U34" s="36">
        <f t="shared" si="0"/>
        <v>0.04370843397412567</v>
      </c>
      <c r="V34" s="36">
        <f t="shared" si="0"/>
        <v>0.04573129481802192</v>
      </c>
      <c r="W34" s="36">
        <f t="shared" si="0"/>
        <v>0.05313274490195226</v>
      </c>
      <c r="X34" s="36">
        <f t="shared" si="0"/>
        <v>0.05457449640606975</v>
      </c>
      <c r="Y34" s="36">
        <f t="shared" si="0"/>
        <v>0.04761254650329363</v>
      </c>
      <c r="Z34" s="36">
        <f t="shared" si="0"/>
        <v>0.0425203738662001</v>
      </c>
      <c r="AA34" s="36">
        <f t="shared" si="0"/>
        <v>0.04210219905263436</v>
      </c>
      <c r="AB34" s="36">
        <f t="shared" si="0"/>
        <v>0.04327976625273922</v>
      </c>
      <c r="AC34" s="36">
        <f t="shared" si="1"/>
        <v>0.03715160250700439</v>
      </c>
      <c r="AD34" s="36">
        <f t="shared" si="1"/>
        <v>0.03618618345722542</v>
      </c>
      <c r="AE34" s="36">
        <f t="shared" si="2"/>
        <v>0.03782675823883299</v>
      </c>
      <c r="AF34" s="36">
        <f t="shared" si="2"/>
        <v>0.04020622007967594</v>
      </c>
      <c r="AG34" s="36">
        <f t="shared" si="3"/>
        <v>0.041257243638196016</v>
      </c>
      <c r="AH34" s="36">
        <f t="shared" si="3"/>
        <v>0.043971874464071345</v>
      </c>
    </row>
    <row r="35" spans="1:34" ht="12.75">
      <c r="A35" s="33" t="s">
        <v>35</v>
      </c>
      <c r="B35" s="36">
        <f t="shared" si="0"/>
        <v>0.16639051416144565</v>
      </c>
      <c r="C35" s="36">
        <f t="shared" si="0"/>
        <v>0.1663836523240754</v>
      </c>
      <c r="D35" s="36">
        <f t="shared" si="0"/>
        <v>0.17460098431534887</v>
      </c>
      <c r="E35" s="36">
        <f t="shared" si="0"/>
        <v>0.17586681173403404</v>
      </c>
      <c r="F35" s="36">
        <f t="shared" si="0"/>
        <v>0.16950692312511748</v>
      </c>
      <c r="G35" s="36">
        <f t="shared" si="0"/>
        <v>0.17129638554216867</v>
      </c>
      <c r="H35" s="36">
        <f t="shared" si="0"/>
        <v>0.18679489090999454</v>
      </c>
      <c r="I35" s="36">
        <f t="shared" si="0"/>
        <v>0.17242386857996234</v>
      </c>
      <c r="J35" s="36">
        <f t="shared" si="0"/>
        <v>0.18065998329156224</v>
      </c>
      <c r="K35" s="36">
        <f t="shared" si="0"/>
        <v>0.17455662616952938</v>
      </c>
      <c r="L35" s="36">
        <f t="shared" si="0"/>
        <v>0.15751651254953764</v>
      </c>
      <c r="M35" s="36">
        <f t="shared" si="0"/>
        <v>0.16495386938963127</v>
      </c>
      <c r="N35" s="36">
        <f aca="true" t="shared" si="4" ref="N35:AB35">N13/N$46</f>
        <v>0.16220039292730845</v>
      </c>
      <c r="O35" s="36">
        <f t="shared" si="4"/>
        <v>0.1545144001413511</v>
      </c>
      <c r="P35" s="36">
        <f t="shared" si="4"/>
        <v>0.16894995567733098</v>
      </c>
      <c r="Q35" s="36">
        <f t="shared" si="4"/>
        <v>0.16588196649512757</v>
      </c>
      <c r="R35" s="36">
        <f t="shared" si="4"/>
        <v>0.18539527107714354</v>
      </c>
      <c r="S35" s="36">
        <f t="shared" si="4"/>
        <v>0.1802162504524068</v>
      </c>
      <c r="T35" s="36">
        <f t="shared" si="4"/>
        <v>0.182339576637482</v>
      </c>
      <c r="U35" s="36">
        <f t="shared" si="4"/>
        <v>0.17552857095589453</v>
      </c>
      <c r="V35" s="36">
        <f t="shared" si="4"/>
        <v>0.18052360979569748</v>
      </c>
      <c r="W35" s="36">
        <f t="shared" si="4"/>
        <v>0.19470411757032915</v>
      </c>
      <c r="X35" s="36">
        <f t="shared" si="4"/>
        <v>0.1795190345194782</v>
      </c>
      <c r="Y35" s="36">
        <f t="shared" si="4"/>
        <v>0.17150755998498243</v>
      </c>
      <c r="Z35" s="36">
        <f t="shared" si="4"/>
        <v>0.17740227450619273</v>
      </c>
      <c r="AA35" s="36">
        <f t="shared" si="4"/>
        <v>0.18068750165392045</v>
      </c>
      <c r="AB35" s="36">
        <f t="shared" si="4"/>
        <v>0.19290997078159242</v>
      </c>
      <c r="AC35" s="36">
        <f aca="true" t="shared" si="5" ref="AC35:AD44">AC13/AC$46</f>
        <v>0.16978962540690237</v>
      </c>
      <c r="AD35" s="36">
        <f t="shared" si="5"/>
        <v>0.16250159030188474</v>
      </c>
      <c r="AE35" s="36">
        <f t="shared" si="2"/>
        <v>0.15947931640313048</v>
      </c>
      <c r="AF35" s="36">
        <f t="shared" si="2"/>
        <v>0.14991128519299654</v>
      </c>
      <c r="AG35" s="36">
        <f t="shared" si="3"/>
        <v>0.15280927185689092</v>
      </c>
      <c r="AH35" s="36">
        <f t="shared" si="3"/>
        <v>0.15311267364088493</v>
      </c>
    </row>
    <row r="36" spans="1:34" ht="12.75">
      <c r="A36" s="33" t="s">
        <v>38</v>
      </c>
      <c r="B36" s="36">
        <f aca="true" t="shared" si="6" ref="B36:AB44">B14/B$46</f>
        <v>0.03029047791642935</v>
      </c>
      <c r="C36" s="36">
        <f t="shared" si="6"/>
        <v>0.029673334292703985</v>
      </c>
      <c r="D36" s="36">
        <f t="shared" si="6"/>
        <v>0.030173405087162503</v>
      </c>
      <c r="E36" s="36">
        <f t="shared" si="6"/>
        <v>0.03235276004352021</v>
      </c>
      <c r="F36" s="36">
        <f t="shared" si="6"/>
        <v>0.038045861788108516</v>
      </c>
      <c r="G36" s="36">
        <f t="shared" si="6"/>
        <v>0.03176867469879518</v>
      </c>
      <c r="H36" s="36">
        <f t="shared" si="6"/>
        <v>0.02790616768550271</v>
      </c>
      <c r="I36" s="36">
        <f t="shared" si="6"/>
        <v>0.027076163885461982</v>
      </c>
      <c r="J36" s="36">
        <f t="shared" si="6"/>
        <v>0.02635059871901977</v>
      </c>
      <c r="K36" s="36">
        <f t="shared" si="6"/>
        <v>0.023181119955313505</v>
      </c>
      <c r="L36" s="36">
        <f t="shared" si="6"/>
        <v>0.02737120211360634</v>
      </c>
      <c r="M36" s="36">
        <f t="shared" si="6"/>
        <v>0.025380043996454018</v>
      </c>
      <c r="N36" s="36">
        <f t="shared" si="6"/>
        <v>0.025383104125736737</v>
      </c>
      <c r="O36" s="36">
        <f t="shared" si="6"/>
        <v>0.024176924436068083</v>
      </c>
      <c r="P36" s="36">
        <f t="shared" si="6"/>
        <v>0.025143041340962204</v>
      </c>
      <c r="Q36" s="36">
        <f t="shared" si="6"/>
        <v>0.027132377094054527</v>
      </c>
      <c r="R36" s="36">
        <f t="shared" si="6"/>
        <v>0.025873736167502586</v>
      </c>
      <c r="S36" s="36">
        <f t="shared" si="6"/>
        <v>0.02680510314875136</v>
      </c>
      <c r="T36" s="36">
        <f t="shared" si="6"/>
        <v>0.0252133436772692</v>
      </c>
      <c r="U36" s="36">
        <f t="shared" si="6"/>
        <v>0.02243324620322271</v>
      </c>
      <c r="V36" s="36">
        <f t="shared" si="6"/>
        <v>0.020734677310242186</v>
      </c>
      <c r="W36" s="36">
        <f t="shared" si="6"/>
        <v>0.01821818339927823</v>
      </c>
      <c r="X36" s="36">
        <f t="shared" si="6"/>
        <v>0.0195669535894933</v>
      </c>
      <c r="Y36" s="36">
        <f t="shared" si="6"/>
        <v>0.023106590668623504</v>
      </c>
      <c r="Z36" s="36">
        <f t="shared" si="6"/>
        <v>0.024333532851420415</v>
      </c>
      <c r="AA36" s="36">
        <f t="shared" si="6"/>
        <v>0.02154065998041758</v>
      </c>
      <c r="AB36" s="36">
        <f t="shared" si="6"/>
        <v>0.021411614317019722</v>
      </c>
      <c r="AC36" s="36">
        <f t="shared" si="5"/>
        <v>0.023725849029102627</v>
      </c>
      <c r="AD36" s="36">
        <f t="shared" si="5"/>
        <v>0.023609167408807547</v>
      </c>
      <c r="AE36" s="36">
        <f t="shared" si="2"/>
        <v>0.01983176276420167</v>
      </c>
      <c r="AF36" s="36">
        <f t="shared" si="2"/>
        <v>0.017876870543336348</v>
      </c>
      <c r="AG36" s="36">
        <f t="shared" si="3"/>
        <v>0.01899092970521542</v>
      </c>
      <c r="AH36" s="36">
        <f t="shared" si="3"/>
        <v>0.01886468873263591</v>
      </c>
    </row>
    <row r="37" spans="1:34" ht="12.75">
      <c r="A37" s="33" t="s">
        <v>39</v>
      </c>
      <c r="B37" s="36">
        <f t="shared" si="6"/>
        <v>0.022135349246621448</v>
      </c>
      <c r="C37" s="36">
        <f t="shared" si="6"/>
        <v>0.023485393581810333</v>
      </c>
      <c r="D37" s="36">
        <f t="shared" si="6"/>
        <v>0.022446069638011133</v>
      </c>
      <c r="E37" s="36">
        <f t="shared" si="6"/>
        <v>0.022396485537741467</v>
      </c>
      <c r="F37" s="36">
        <f t="shared" si="6"/>
        <v>0.022899567696259632</v>
      </c>
      <c r="G37" s="36">
        <f t="shared" si="6"/>
        <v>0.020163855421686746</v>
      </c>
      <c r="H37" s="36">
        <f t="shared" si="6"/>
        <v>0.022638039858853935</v>
      </c>
      <c r="I37" s="36">
        <f t="shared" si="6"/>
        <v>0.020096097655996365</v>
      </c>
      <c r="J37" s="36">
        <f t="shared" si="6"/>
        <v>0.023670286828181564</v>
      </c>
      <c r="K37" s="36">
        <f t="shared" si="6"/>
        <v>0.0243448307964437</v>
      </c>
      <c r="L37" s="36">
        <f t="shared" si="6"/>
        <v>0.018177014531043593</v>
      </c>
      <c r="M37" s="36">
        <f t="shared" si="6"/>
        <v>0.019864070656991823</v>
      </c>
      <c r="N37" s="36">
        <f t="shared" si="6"/>
        <v>0.02328749181401441</v>
      </c>
      <c r="O37" s="36">
        <f t="shared" si="6"/>
        <v>0.023057895046822544</v>
      </c>
      <c r="P37" s="36">
        <f t="shared" si="6"/>
        <v>0.025183334676444517</v>
      </c>
      <c r="Q37" s="36">
        <f t="shared" si="6"/>
        <v>0.019205080477389686</v>
      </c>
      <c r="R37" s="36">
        <f t="shared" si="6"/>
        <v>0.023166945306902317</v>
      </c>
      <c r="S37" s="36">
        <f t="shared" si="6"/>
        <v>0.022846543612015924</v>
      </c>
      <c r="T37" s="36">
        <f t="shared" si="6"/>
        <v>0.02305219993350327</v>
      </c>
      <c r="U37" s="36">
        <f t="shared" si="6"/>
        <v>0.020017867187241505</v>
      </c>
      <c r="V37" s="36">
        <f t="shared" si="6"/>
        <v>0.01961845487755378</v>
      </c>
      <c r="W37" s="36">
        <f t="shared" si="6"/>
        <v>0.019826948997782513</v>
      </c>
      <c r="X37" s="36">
        <f t="shared" si="6"/>
        <v>0.01712663057946579</v>
      </c>
      <c r="Y37" s="36">
        <f t="shared" si="6"/>
        <v>0.01788456943923001</v>
      </c>
      <c r="Z37" s="36">
        <f t="shared" si="6"/>
        <v>0.020258759611400157</v>
      </c>
      <c r="AA37" s="36">
        <f t="shared" si="6"/>
        <v>0.018788536346555876</v>
      </c>
      <c r="AB37" s="36">
        <f t="shared" si="6"/>
        <v>0.02049853907962016</v>
      </c>
      <c r="AC37" s="36">
        <f t="shared" si="5"/>
        <v>0.019223606005150048</v>
      </c>
      <c r="AD37" s="36">
        <f t="shared" si="5"/>
        <v>0.017502408171425454</v>
      </c>
      <c r="AE37" s="36">
        <f t="shared" si="2"/>
        <v>0.01554597242187084</v>
      </c>
      <c r="AF37" s="36">
        <f t="shared" si="2"/>
        <v>0.014395232834521777</v>
      </c>
      <c r="AG37" s="36">
        <f t="shared" si="3"/>
        <v>0.01773116654069035</v>
      </c>
      <c r="AH37" s="36">
        <f t="shared" si="3"/>
        <v>0.017938604013033786</v>
      </c>
    </row>
    <row r="38" spans="1:34" ht="12.75">
      <c r="A38" s="33" t="s">
        <v>40</v>
      </c>
      <c r="B38" s="36">
        <f t="shared" si="6"/>
        <v>0.0983016620928908</v>
      </c>
      <c r="C38" s="36">
        <f t="shared" si="6"/>
        <v>0.0973089653187509</v>
      </c>
      <c r="D38" s="36">
        <f t="shared" si="6"/>
        <v>0.10454900878524447</v>
      </c>
      <c r="E38" s="36">
        <f t="shared" si="6"/>
        <v>0.10206720998501427</v>
      </c>
      <c r="F38" s="36">
        <f t="shared" si="6"/>
        <v>0.11321345780339578</v>
      </c>
      <c r="G38" s="36">
        <f t="shared" si="6"/>
        <v>0.11009156626506024</v>
      </c>
      <c r="H38" s="36">
        <f t="shared" si="6"/>
        <v>0.10357338104467968</v>
      </c>
      <c r="I38" s="36">
        <f t="shared" si="6"/>
        <v>0.10385689240958379</v>
      </c>
      <c r="J38" s="36">
        <f t="shared" si="6"/>
        <v>0.09697855750487329</v>
      </c>
      <c r="K38" s="36">
        <f t="shared" si="6"/>
        <v>0.09123492994460737</v>
      </c>
      <c r="L38" s="36">
        <f t="shared" si="6"/>
        <v>0.0899339498018494</v>
      </c>
      <c r="M38" s="36">
        <f t="shared" si="6"/>
        <v>0.11682043536789573</v>
      </c>
      <c r="N38" s="36">
        <f t="shared" si="6"/>
        <v>0.1289063523248199</v>
      </c>
      <c r="O38" s="36">
        <f t="shared" si="6"/>
        <v>0.11764532657989281</v>
      </c>
      <c r="P38" s="36">
        <f t="shared" si="6"/>
        <v>0.11826093964058344</v>
      </c>
      <c r="Q38" s="36">
        <f t="shared" si="6"/>
        <v>0.11947881309536844</v>
      </c>
      <c r="R38" s="36">
        <f t="shared" si="6"/>
        <v>0.1130881299259613</v>
      </c>
      <c r="S38" s="36">
        <f t="shared" si="6"/>
        <v>0.10803474484256244</v>
      </c>
      <c r="T38" s="36">
        <f t="shared" si="6"/>
        <v>0.1133215116923418</v>
      </c>
      <c r="U38" s="36">
        <f t="shared" si="6"/>
        <v>0.11137213380538001</v>
      </c>
      <c r="V38" s="36">
        <f t="shared" si="6"/>
        <v>0.10658232986064133</v>
      </c>
      <c r="W38" s="36">
        <f t="shared" si="6"/>
        <v>0.09217792077916431</v>
      </c>
      <c r="X38" s="36">
        <f t="shared" si="6"/>
        <v>0.09393025113142249</v>
      </c>
      <c r="Y38" s="36">
        <f t="shared" si="6"/>
        <v>0.10730741663538004</v>
      </c>
      <c r="Z38" s="36">
        <f t="shared" si="6"/>
        <v>0.11874395690409319</v>
      </c>
      <c r="AA38" s="36">
        <f t="shared" si="6"/>
        <v>0.11368387626028739</v>
      </c>
      <c r="AB38" s="36">
        <f t="shared" si="6"/>
        <v>0.11132669831994156</v>
      </c>
      <c r="AC38" s="36">
        <f t="shared" si="5"/>
        <v>0.10076602911882358</v>
      </c>
      <c r="AD38" s="36">
        <f t="shared" si="5"/>
        <v>0.0932189527634903</v>
      </c>
      <c r="AE38" s="36">
        <f t="shared" si="2"/>
        <v>0.07911409253047968</v>
      </c>
      <c r="AF38" s="36">
        <f t="shared" si="2"/>
        <v>0.07940812158950153</v>
      </c>
      <c r="AG38" s="36">
        <f t="shared" si="3"/>
        <v>0.07593222474174856</v>
      </c>
      <c r="AH38" s="36">
        <f t="shared" si="3"/>
        <v>0.07587034813925571</v>
      </c>
    </row>
    <row r="39" spans="1:34" ht="12.75">
      <c r="A39" s="33" t="s">
        <v>41</v>
      </c>
      <c r="B39" s="36">
        <f t="shared" si="6"/>
        <v>0.05444519235747942</v>
      </c>
      <c r="C39" s="36">
        <f t="shared" si="6"/>
        <v>0.05171967189523673</v>
      </c>
      <c r="D39" s="36">
        <f t="shared" si="6"/>
        <v>0.051262591417138126</v>
      </c>
      <c r="E39" s="36">
        <f t="shared" si="6"/>
        <v>0.04906287849239423</v>
      </c>
      <c r="F39" s="36">
        <f t="shared" si="6"/>
        <v>0.04561117724453355</v>
      </c>
      <c r="G39" s="36">
        <f t="shared" si="6"/>
        <v>0.04368192771084337</v>
      </c>
      <c r="H39" s="36">
        <f t="shared" si="6"/>
        <v>0.044207544356642314</v>
      </c>
      <c r="I39" s="36">
        <f t="shared" si="6"/>
        <v>0.04860074021167456</v>
      </c>
      <c r="J39" s="36">
        <f t="shared" si="6"/>
        <v>0.05203982177666388</v>
      </c>
      <c r="K39" s="36">
        <f t="shared" si="6"/>
        <v>0.05325140809011777</v>
      </c>
      <c r="L39" s="36">
        <f t="shared" si="6"/>
        <v>0.052523117569352705</v>
      </c>
      <c r="M39" s="36">
        <f t="shared" si="6"/>
        <v>0.050891420691466654</v>
      </c>
      <c r="N39" s="36">
        <f t="shared" si="6"/>
        <v>0.04576293385723641</v>
      </c>
      <c r="O39" s="36">
        <f t="shared" si="6"/>
        <v>0.04305318334413098</v>
      </c>
      <c r="P39" s="36">
        <f t="shared" si="6"/>
        <v>0.03795632202433717</v>
      </c>
      <c r="Q39" s="36">
        <f t="shared" si="6"/>
        <v>0.036483083324208916</v>
      </c>
      <c r="R39" s="36">
        <f t="shared" si="6"/>
        <v>0.03636255075232864</v>
      </c>
      <c r="S39" s="36">
        <f t="shared" si="6"/>
        <v>0.038070032573289905</v>
      </c>
      <c r="T39" s="36">
        <f t="shared" si="6"/>
        <v>0.03970408954893051</v>
      </c>
      <c r="U39" s="36">
        <f t="shared" si="6"/>
        <v>0.03728948152069616</v>
      </c>
      <c r="V39" s="36">
        <f t="shared" si="6"/>
        <v>0.03906778514409417</v>
      </c>
      <c r="W39" s="36">
        <f t="shared" si="6"/>
        <v>0.03856689421279186</v>
      </c>
      <c r="X39" s="36">
        <f t="shared" si="6"/>
        <v>0.04108616558700861</v>
      </c>
      <c r="Y39" s="36">
        <f t="shared" si="6"/>
        <v>0.04088876753472815</v>
      </c>
      <c r="Z39" s="36">
        <f t="shared" si="6"/>
        <v>0.03734057737464892</v>
      </c>
      <c r="AA39" s="36">
        <f t="shared" si="6"/>
        <v>0.037682923602106434</v>
      </c>
      <c r="AB39" s="36">
        <f t="shared" si="6"/>
        <v>0.035975164353542734</v>
      </c>
      <c r="AC39" s="36">
        <f t="shared" si="5"/>
        <v>0.028503409072505547</v>
      </c>
      <c r="AD39" s="36">
        <f t="shared" si="5"/>
        <v>0.026880645571690807</v>
      </c>
      <c r="AE39" s="36">
        <f t="shared" si="2"/>
        <v>0.027152212106692223</v>
      </c>
      <c r="AF39" s="36">
        <f t="shared" si="2"/>
        <v>0.02473971410398045</v>
      </c>
      <c r="AG39" s="36">
        <f t="shared" si="3"/>
        <v>0.026895943562610228</v>
      </c>
      <c r="AH39" s="36">
        <f t="shared" si="3"/>
        <v>0.029051620648259304</v>
      </c>
    </row>
    <row r="40" spans="1:34" ht="12.75">
      <c r="A40" s="33" t="s">
        <v>42</v>
      </c>
      <c r="B40" s="36">
        <f t="shared" si="6"/>
        <v>0.04724796769015689</v>
      </c>
      <c r="C40" s="36">
        <f t="shared" si="6"/>
        <v>0.0491005900129515</v>
      </c>
      <c r="D40" s="36">
        <f t="shared" si="6"/>
        <v>0.04797387424681478</v>
      </c>
      <c r="E40" s="36">
        <f t="shared" si="6"/>
        <v>0.043130170591012665</v>
      </c>
      <c r="F40" s="36">
        <f t="shared" si="6"/>
        <v>0.043574963974688304</v>
      </c>
      <c r="G40" s="36">
        <f t="shared" si="6"/>
        <v>0.0416578313253012</v>
      </c>
      <c r="H40" s="36">
        <f t="shared" si="6"/>
        <v>0.035783509765916204</v>
      </c>
      <c r="I40" s="36">
        <f t="shared" si="6"/>
        <v>0.03464060775274333</v>
      </c>
      <c r="J40" s="36">
        <f t="shared" si="6"/>
        <v>0.029030910609857977</v>
      </c>
      <c r="K40" s="36">
        <f t="shared" si="6"/>
        <v>0.020993343573988736</v>
      </c>
      <c r="L40" s="36">
        <f t="shared" si="6"/>
        <v>0.025838837516512548</v>
      </c>
      <c r="M40" s="36">
        <f t="shared" si="6"/>
        <v>0.03122434908231277</v>
      </c>
      <c r="N40" s="36">
        <f t="shared" si="6"/>
        <v>0.040130975769482644</v>
      </c>
      <c r="O40" s="36">
        <f t="shared" si="6"/>
        <v>0.03463101478296719</v>
      </c>
      <c r="P40" s="36">
        <f t="shared" si="6"/>
        <v>0.03537754855346926</v>
      </c>
      <c r="Q40" s="36">
        <f t="shared" si="6"/>
        <v>0.03775320267163035</v>
      </c>
      <c r="R40" s="36">
        <f t="shared" si="6"/>
        <v>0.0329591593026033</v>
      </c>
      <c r="S40" s="36">
        <f t="shared" si="6"/>
        <v>0.035559174809989144</v>
      </c>
      <c r="T40" s="36">
        <f t="shared" si="6"/>
        <v>0.030145184528427352</v>
      </c>
      <c r="U40" s="36">
        <f t="shared" si="6"/>
        <v>0.031796975813122456</v>
      </c>
      <c r="V40" s="36">
        <f t="shared" si="6"/>
        <v>0.036091191990258426</v>
      </c>
      <c r="W40" s="36">
        <f t="shared" si="6"/>
        <v>0.02656637245097613</v>
      </c>
      <c r="X40" s="36">
        <f t="shared" si="6"/>
        <v>0.024846925193007366</v>
      </c>
      <c r="Y40" s="36">
        <f t="shared" si="6"/>
        <v>0.031468650807194784</v>
      </c>
      <c r="Z40" s="36">
        <f t="shared" si="6"/>
        <v>0.04164556379207146</v>
      </c>
      <c r="AA40" s="36">
        <f t="shared" si="6"/>
        <v>0.04133477996242293</v>
      </c>
      <c r="AB40" s="36">
        <f t="shared" si="6"/>
        <v>0.03830350620891161</v>
      </c>
      <c r="AC40" s="36">
        <f t="shared" si="5"/>
        <v>0.03569404181579672</v>
      </c>
      <c r="AD40" s="36">
        <f t="shared" si="5"/>
        <v>0.027934788535286526</v>
      </c>
      <c r="AE40" s="36">
        <f t="shared" si="2"/>
        <v>0.02427727200127775</v>
      </c>
      <c r="AF40" s="36">
        <f t="shared" si="2"/>
        <v>0.017475143115396205</v>
      </c>
      <c r="AG40" s="36">
        <f t="shared" si="3"/>
        <v>0.009479717813051146</v>
      </c>
      <c r="AH40" s="36">
        <f t="shared" si="3"/>
        <v>0.009398044932258617</v>
      </c>
    </row>
    <row r="41" spans="1:34" ht="12.75">
      <c r="A41" s="33" t="s">
        <v>46</v>
      </c>
      <c r="B41" s="36">
        <f t="shared" si="6"/>
        <v>0.04005074302283436</v>
      </c>
      <c r="C41" s="36">
        <f t="shared" si="6"/>
        <v>0.0413872499640236</v>
      </c>
      <c r="D41" s="36">
        <f t="shared" si="6"/>
        <v>0.03870567131226715</v>
      </c>
      <c r="E41" s="36">
        <f t="shared" si="6"/>
        <v>0.036478968653131605</v>
      </c>
      <c r="F41" s="36">
        <f t="shared" si="6"/>
        <v>0.031013094417643005</v>
      </c>
      <c r="G41" s="36">
        <f t="shared" si="6"/>
        <v>0.03614457831325301</v>
      </c>
      <c r="H41" s="36">
        <f t="shared" si="6"/>
        <v>0.03884001789175488</v>
      </c>
      <c r="I41" s="36">
        <f t="shared" si="6"/>
        <v>0.044802285565872346</v>
      </c>
      <c r="J41" s="36">
        <f t="shared" si="6"/>
        <v>0.04497354497354497</v>
      </c>
      <c r="K41" s="36">
        <f t="shared" si="6"/>
        <v>0.05716147651631523</v>
      </c>
      <c r="L41" s="36">
        <f t="shared" si="6"/>
        <v>0.062457067371202116</v>
      </c>
      <c r="M41" s="36">
        <f t="shared" si="6"/>
        <v>0.0483304330695735</v>
      </c>
      <c r="N41" s="36">
        <f t="shared" si="6"/>
        <v>0.04275049115913556</v>
      </c>
      <c r="O41" s="36">
        <f t="shared" si="6"/>
        <v>0.04119795040932917</v>
      </c>
      <c r="P41" s="36">
        <f t="shared" si="6"/>
        <v>0.03753324200177291</v>
      </c>
      <c r="Q41" s="36">
        <f t="shared" si="6"/>
        <v>0.04000875944377532</v>
      </c>
      <c r="R41" s="36">
        <f t="shared" si="6"/>
        <v>0.03560624154127856</v>
      </c>
      <c r="S41" s="36">
        <f t="shared" si="6"/>
        <v>0.03791169019182049</v>
      </c>
      <c r="T41" s="36">
        <f t="shared" si="6"/>
        <v>0.035326388119250804</v>
      </c>
      <c r="U41" s="36">
        <f t="shared" si="6"/>
        <v>0.04648777421169308</v>
      </c>
      <c r="V41" s="36">
        <f t="shared" si="6"/>
        <v>0.047118116628331756</v>
      </c>
      <c r="W41" s="36">
        <f t="shared" si="6"/>
        <v>0.05665463715813731</v>
      </c>
      <c r="X41" s="36">
        <f t="shared" si="6"/>
        <v>0.05910018635193895</v>
      </c>
      <c r="Y41" s="36">
        <f t="shared" si="6"/>
        <v>0.051059763131847506</v>
      </c>
      <c r="Z41" s="36">
        <f t="shared" si="6"/>
        <v>0.04224411805331737</v>
      </c>
      <c r="AA41" s="36">
        <f t="shared" si="6"/>
        <v>0.04368996268755458</v>
      </c>
      <c r="AB41" s="36">
        <f t="shared" si="6"/>
        <v>0.036089298758217675</v>
      </c>
      <c r="AC41" s="36">
        <f t="shared" si="5"/>
        <v>0.036163700260741415</v>
      </c>
      <c r="AD41" s="36">
        <f t="shared" si="5"/>
        <v>0.033968848257937875</v>
      </c>
      <c r="AE41" s="36">
        <f t="shared" si="2"/>
        <v>0.04176649097588245</v>
      </c>
      <c r="AF41" s="36">
        <f t="shared" si="2"/>
        <v>0.04449131264437079</v>
      </c>
      <c r="AG41" s="36">
        <f t="shared" si="3"/>
        <v>0.043808264046359284</v>
      </c>
      <c r="AH41" s="36">
        <f t="shared" si="3"/>
        <v>0.0475390156062425</v>
      </c>
    </row>
    <row r="42" spans="1:34" ht="12.75">
      <c r="A42" s="33" t="s">
        <v>43</v>
      </c>
      <c r="B42" s="36">
        <f t="shared" si="6"/>
        <v>0.013436545332159685</v>
      </c>
      <c r="C42" s="36">
        <f t="shared" si="6"/>
        <v>0.014189091955677077</v>
      </c>
      <c r="D42" s="36">
        <f t="shared" si="6"/>
        <v>0.011912975484108367</v>
      </c>
      <c r="E42" s="36">
        <f t="shared" si="6"/>
        <v>0.010592654938106872</v>
      </c>
      <c r="F42" s="36">
        <f t="shared" si="6"/>
        <v>0.007393020487438131</v>
      </c>
      <c r="G42" s="36">
        <f t="shared" si="6"/>
        <v>0.010698795180722892</v>
      </c>
      <c r="H42" s="36">
        <f t="shared" si="6"/>
        <v>0.012623627056309329</v>
      </c>
      <c r="I42" s="36">
        <f t="shared" si="6"/>
        <v>0.015583403675086033</v>
      </c>
      <c r="J42" s="36">
        <f t="shared" si="6"/>
        <v>0.0142369813422445</v>
      </c>
      <c r="K42" s="36">
        <f t="shared" si="6"/>
        <v>0.019131406228180423</v>
      </c>
      <c r="L42" s="36">
        <f t="shared" si="6"/>
        <v>0.026155878467635403</v>
      </c>
      <c r="M42" s="36">
        <f t="shared" si="6"/>
        <v>0.01677775224086417</v>
      </c>
      <c r="N42" s="36">
        <f t="shared" si="6"/>
        <v>0.014459724950884087</v>
      </c>
      <c r="O42" s="36">
        <f t="shared" si="6"/>
        <v>0.015843100300371046</v>
      </c>
      <c r="P42" s="36">
        <f t="shared" si="6"/>
        <v>0.010818760577000564</v>
      </c>
      <c r="Q42" s="36">
        <f t="shared" si="6"/>
        <v>0.013664732289499618</v>
      </c>
      <c r="R42" s="36">
        <f t="shared" si="6"/>
        <v>0.010130562853276013</v>
      </c>
      <c r="S42" s="36">
        <f t="shared" si="6"/>
        <v>0.013549583785740138</v>
      </c>
      <c r="T42" s="36">
        <f t="shared" si="6"/>
        <v>0.012024825446082235</v>
      </c>
      <c r="U42" s="36">
        <f t="shared" si="6"/>
        <v>0.01799953677662707</v>
      </c>
      <c r="V42" s="36">
        <f t="shared" si="6"/>
        <v>0.015931538357461777</v>
      </c>
      <c r="W42" s="36">
        <f t="shared" si="6"/>
        <v>0.01821818339927823</v>
      </c>
      <c r="X42" s="36">
        <f t="shared" si="6"/>
        <v>0.021785429053154674</v>
      </c>
      <c r="Y42" s="36">
        <f t="shared" si="6"/>
        <v>0.019010887743608998</v>
      </c>
      <c r="Z42" s="36">
        <f t="shared" si="6"/>
        <v>0.013628620102214651</v>
      </c>
      <c r="AA42" s="36">
        <f t="shared" si="6"/>
        <v>0.014580962714017306</v>
      </c>
      <c r="AB42" s="36">
        <f t="shared" si="6"/>
        <v>0.011527574872169467</v>
      </c>
      <c r="AC42" s="36">
        <f t="shared" si="5"/>
        <v>0.011255607559881451</v>
      </c>
      <c r="AD42" s="36">
        <f t="shared" si="5"/>
        <v>0.010068882790207375</v>
      </c>
      <c r="AE42" s="36">
        <f t="shared" si="2"/>
        <v>0.01277751157961987</v>
      </c>
      <c r="AF42" s="36">
        <f t="shared" si="2"/>
        <v>0.014863914833785276</v>
      </c>
      <c r="AG42" s="36">
        <f t="shared" si="3"/>
        <v>0.015936004031242127</v>
      </c>
      <c r="AH42" s="36">
        <f t="shared" si="3"/>
        <v>0.017424112502143714</v>
      </c>
    </row>
    <row r="43" spans="1:34" ht="12.75">
      <c r="A43" s="33" t="s">
        <v>44</v>
      </c>
      <c r="B43" s="36">
        <f t="shared" si="6"/>
        <v>0.016103142960700048</v>
      </c>
      <c r="C43" s="36">
        <f t="shared" si="6"/>
        <v>0.016462800402935674</v>
      </c>
      <c r="D43" s="36">
        <f t="shared" si="6"/>
        <v>0.016604572006807414</v>
      </c>
      <c r="E43" s="36">
        <f t="shared" si="6"/>
        <v>0.01880401535524398</v>
      </c>
      <c r="F43" s="36">
        <f t="shared" si="6"/>
        <v>0.017010212392707225</v>
      </c>
      <c r="G43" s="36">
        <f t="shared" si="6"/>
        <v>0.020356626506024097</v>
      </c>
      <c r="H43" s="36">
        <f t="shared" si="6"/>
        <v>0.017146265096168182</v>
      </c>
      <c r="I43" s="36">
        <f t="shared" si="6"/>
        <v>0.01863515356145705</v>
      </c>
      <c r="J43" s="36">
        <f t="shared" si="6"/>
        <v>0.014967975494291283</v>
      </c>
      <c r="K43" s="36">
        <f t="shared" si="6"/>
        <v>0.012195689615044454</v>
      </c>
      <c r="L43" s="36">
        <f t="shared" si="6"/>
        <v>0.013632760898282695</v>
      </c>
      <c r="M43" s="36">
        <f t="shared" si="6"/>
        <v>0.015464425255277933</v>
      </c>
      <c r="N43" s="36">
        <f t="shared" si="6"/>
        <v>0.014538310412573674</v>
      </c>
      <c r="O43" s="36">
        <f t="shared" si="6"/>
        <v>0.014311796925613993</v>
      </c>
      <c r="P43" s="36">
        <f t="shared" si="6"/>
        <v>0.014586187444596664</v>
      </c>
      <c r="Q43" s="36">
        <f t="shared" si="6"/>
        <v>0.020190517902113216</v>
      </c>
      <c r="R43" s="36">
        <f t="shared" si="6"/>
        <v>0.015384921582676538</v>
      </c>
      <c r="S43" s="36">
        <f t="shared" si="6"/>
        <v>0.018254614549402824</v>
      </c>
      <c r="T43" s="36">
        <f t="shared" si="6"/>
        <v>0.015682145627839966</v>
      </c>
      <c r="U43" s="36">
        <f t="shared" si="6"/>
        <v>0.017271614333454654</v>
      </c>
      <c r="V43" s="36">
        <f t="shared" si="6"/>
        <v>0.01711541063455554</v>
      </c>
      <c r="W43" s="36">
        <f t="shared" si="6"/>
        <v>0.012304882820992217</v>
      </c>
      <c r="X43" s="36">
        <f t="shared" si="6"/>
        <v>0.013710178365427279</v>
      </c>
      <c r="Y43" s="36">
        <f t="shared" si="6"/>
        <v>0.01570019454588894</v>
      </c>
      <c r="Z43" s="36">
        <f t="shared" si="6"/>
        <v>0.018647267369584233</v>
      </c>
      <c r="AA43" s="36">
        <f t="shared" si="6"/>
        <v>0.020746778162957474</v>
      </c>
      <c r="AB43" s="36">
        <f t="shared" si="6"/>
        <v>0.018581081081081082</v>
      </c>
      <c r="AC43" s="36">
        <f t="shared" si="5"/>
        <v>0.02319141010899315</v>
      </c>
      <c r="AD43" s="36">
        <f t="shared" si="5"/>
        <v>0.018338452590828957</v>
      </c>
      <c r="AE43" s="36">
        <f t="shared" si="2"/>
        <v>0.020390778895810042</v>
      </c>
      <c r="AF43" s="36">
        <f t="shared" si="2"/>
        <v>0.021325030966489238</v>
      </c>
      <c r="AG43" s="36">
        <f t="shared" si="3"/>
        <v>0.019148400100781053</v>
      </c>
      <c r="AH43" s="36">
        <f t="shared" si="3"/>
        <v>0.0166009260847196</v>
      </c>
    </row>
    <row r="44" spans="1:34" ht="12.75">
      <c r="A44" s="33" t="s">
        <v>45</v>
      </c>
      <c r="B44" s="36">
        <f t="shared" si="6"/>
        <v>0.019520530212810024</v>
      </c>
      <c r="C44" s="36">
        <f t="shared" si="6"/>
        <v>0.024751762843574616</v>
      </c>
      <c r="D44" s="36">
        <f t="shared" si="6"/>
        <v>0.024032933167747572</v>
      </c>
      <c r="E44" s="36">
        <f t="shared" si="6"/>
        <v>0.021657463100199125</v>
      </c>
      <c r="F44" s="36">
        <f t="shared" si="6"/>
        <v>0.020471774951444144</v>
      </c>
      <c r="G44" s="36">
        <f t="shared" si="6"/>
        <v>0.0248289156626506</v>
      </c>
      <c r="H44" s="36">
        <f t="shared" si="6"/>
        <v>0.019805178669052233</v>
      </c>
      <c r="I44" s="36">
        <f t="shared" si="6"/>
        <v>0.022011557691059024</v>
      </c>
      <c r="J44" s="36">
        <f t="shared" si="6"/>
        <v>0.0154901141743247</v>
      </c>
      <c r="K44" s="36">
        <f t="shared" si="6"/>
        <v>0.012800819252432157</v>
      </c>
      <c r="L44" s="36">
        <f t="shared" si="6"/>
        <v>0.012998678996036989</v>
      </c>
      <c r="M44" s="36">
        <f t="shared" si="6"/>
        <v>0.015858423350953804</v>
      </c>
      <c r="N44" s="36">
        <f t="shared" si="6"/>
        <v>0.020353634577603145</v>
      </c>
      <c r="O44" s="36">
        <f t="shared" si="6"/>
        <v>0.018405088638906886</v>
      </c>
      <c r="P44" s="36">
        <f t="shared" si="6"/>
        <v>0.01694334757031187</v>
      </c>
      <c r="Q44" s="36">
        <f t="shared" si="6"/>
        <v>0.02025621373042812</v>
      </c>
      <c r="R44" s="36">
        <f t="shared" si="6"/>
        <v>0.019942679722951995</v>
      </c>
      <c r="S44" s="36">
        <f t="shared" si="6"/>
        <v>0.020177343467245746</v>
      </c>
      <c r="T44" s="36">
        <f t="shared" si="6"/>
        <v>0.01751080571871883</v>
      </c>
      <c r="U44" s="36">
        <f t="shared" si="6"/>
        <v>0.016510604506501672</v>
      </c>
      <c r="V44" s="36">
        <f t="shared" si="6"/>
        <v>0.01488296576917873</v>
      </c>
      <c r="W44" s="36">
        <f t="shared" si="6"/>
        <v>0.010391756163311448</v>
      </c>
      <c r="X44" s="36">
        <f t="shared" si="6"/>
        <v>0.012734049161416275</v>
      </c>
      <c r="Y44" s="36">
        <f t="shared" si="6"/>
        <v>0.01774804600839619</v>
      </c>
      <c r="Z44" s="36">
        <f t="shared" si="6"/>
        <v>0.020166674340439245</v>
      </c>
      <c r="AA44" s="36">
        <f t="shared" si="6"/>
        <v>0.021090793617190188</v>
      </c>
      <c r="AB44" s="36">
        <f t="shared" si="6"/>
        <v>0.020156135865595327</v>
      </c>
      <c r="AC44" s="36">
        <f t="shared" si="5"/>
        <v>0.022737946782839653</v>
      </c>
      <c r="AD44" s="36">
        <f t="shared" si="5"/>
        <v>0.02146453172425074</v>
      </c>
      <c r="AE44" s="36">
        <f t="shared" si="2"/>
        <v>0.020364159080019165</v>
      </c>
      <c r="AF44" s="36">
        <f t="shared" si="2"/>
        <v>0.02129155368082756</v>
      </c>
      <c r="AG44" s="36">
        <f t="shared" si="3"/>
        <v>0.01609347442680776</v>
      </c>
      <c r="AH44" s="36">
        <f t="shared" si="3"/>
        <v>0.016566626650660263</v>
      </c>
    </row>
    <row r="45" spans="1:34" s="40" customFormat="1" ht="13.5" thickBo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s="40" customFormat="1" ht="13.5" thickTop="1">
      <c r="A46" s="41" t="s">
        <v>69</v>
      </c>
      <c r="B46" s="42">
        <f aca="true" t="shared" si="7" ref="B46:AB46">SUM(B4:B22)</f>
        <v>38626</v>
      </c>
      <c r="C46" s="42">
        <f t="shared" si="7"/>
        <v>34745</v>
      </c>
      <c r="D46" s="42">
        <f t="shared" si="7"/>
        <v>43482</v>
      </c>
      <c r="E46" s="42">
        <f t="shared" si="7"/>
        <v>48713</v>
      </c>
      <c r="F46" s="42">
        <f t="shared" si="7"/>
        <v>63844</v>
      </c>
      <c r="G46" s="42">
        <f t="shared" si="7"/>
        <v>51875</v>
      </c>
      <c r="H46" s="42">
        <f t="shared" si="7"/>
        <v>40242</v>
      </c>
      <c r="I46" s="42">
        <f t="shared" si="7"/>
        <v>30802</v>
      </c>
      <c r="J46" s="42">
        <f t="shared" si="7"/>
        <v>28728</v>
      </c>
      <c r="K46" s="42">
        <f t="shared" si="7"/>
        <v>21483</v>
      </c>
      <c r="L46" s="42">
        <f t="shared" si="7"/>
        <v>18925</v>
      </c>
      <c r="M46" s="42">
        <f t="shared" si="7"/>
        <v>30457</v>
      </c>
      <c r="N46" s="42">
        <f t="shared" si="7"/>
        <v>38175</v>
      </c>
      <c r="O46" s="42">
        <f t="shared" si="7"/>
        <v>33958</v>
      </c>
      <c r="P46" s="42">
        <f t="shared" si="7"/>
        <v>49636</v>
      </c>
      <c r="Q46" s="42">
        <f t="shared" si="7"/>
        <v>45665</v>
      </c>
      <c r="R46" s="42">
        <f t="shared" si="7"/>
        <v>50244</v>
      </c>
      <c r="S46" s="42">
        <f t="shared" si="7"/>
        <v>44208</v>
      </c>
      <c r="T46" s="42">
        <f t="shared" si="7"/>
        <v>36092</v>
      </c>
      <c r="U46" s="42">
        <f t="shared" si="7"/>
        <v>30223</v>
      </c>
      <c r="V46" s="42">
        <f t="shared" si="7"/>
        <v>29564</v>
      </c>
      <c r="W46" s="42">
        <f t="shared" si="7"/>
        <v>22999</v>
      </c>
      <c r="X46" s="42">
        <f t="shared" si="7"/>
        <v>22538</v>
      </c>
      <c r="Y46" s="42">
        <f t="shared" si="7"/>
        <v>29299</v>
      </c>
      <c r="Z46" s="42">
        <f t="shared" si="7"/>
        <v>43438</v>
      </c>
      <c r="AA46" s="42">
        <f t="shared" si="7"/>
        <v>37789</v>
      </c>
      <c r="AB46" s="42">
        <f t="shared" si="7"/>
        <v>43808</v>
      </c>
      <c r="AC46" s="42">
        <f aca="true" t="shared" si="8" ref="AC46:AH46">SUM(AC4:AC22)</f>
        <v>61747</v>
      </c>
      <c r="AD46" s="42">
        <f t="shared" si="8"/>
        <v>55021</v>
      </c>
      <c r="AE46" s="42">
        <f t="shared" si="8"/>
        <v>37566</v>
      </c>
      <c r="AF46" s="42">
        <f t="shared" si="8"/>
        <v>29871</v>
      </c>
      <c r="AG46" s="42">
        <f t="shared" si="8"/>
        <v>31752</v>
      </c>
      <c r="AH46" s="42">
        <f t="shared" si="8"/>
        <v>29155</v>
      </c>
    </row>
    <row r="48" ht="12.75">
      <c r="A48" t="s">
        <v>113</v>
      </c>
    </row>
    <row r="49" spans="1:34" ht="13.5" thickBot="1">
      <c r="A49" s="32"/>
      <c r="B49" s="67" t="s">
        <v>80</v>
      </c>
      <c r="C49" s="67" t="s">
        <v>81</v>
      </c>
      <c r="D49" s="67" t="s">
        <v>82</v>
      </c>
      <c r="E49" s="67" t="s">
        <v>83</v>
      </c>
      <c r="F49" s="67" t="s">
        <v>84</v>
      </c>
      <c r="G49" s="67" t="s">
        <v>85</v>
      </c>
      <c r="H49" s="67" t="s">
        <v>86</v>
      </c>
      <c r="I49" s="67" t="s">
        <v>87</v>
      </c>
      <c r="J49" s="67" t="s">
        <v>88</v>
      </c>
      <c r="K49" s="67" t="s">
        <v>89</v>
      </c>
      <c r="L49" s="67" t="s">
        <v>90</v>
      </c>
      <c r="M49" s="67" t="s">
        <v>91</v>
      </c>
      <c r="N49" s="67" t="s">
        <v>92</v>
      </c>
      <c r="O49" s="67" t="s">
        <v>93</v>
      </c>
      <c r="P49" s="67" t="s">
        <v>94</v>
      </c>
      <c r="Q49" s="67" t="s">
        <v>95</v>
      </c>
      <c r="R49" s="67" t="s">
        <v>96</v>
      </c>
      <c r="S49" s="67" t="s">
        <v>97</v>
      </c>
      <c r="T49" s="67" t="s">
        <v>98</v>
      </c>
      <c r="U49" s="67" t="s">
        <v>99</v>
      </c>
      <c r="V49" s="67" t="s">
        <v>100</v>
      </c>
      <c r="W49" s="67" t="s">
        <v>101</v>
      </c>
      <c r="X49" s="67" t="s">
        <v>102</v>
      </c>
      <c r="Y49" s="67" t="s">
        <v>103</v>
      </c>
      <c r="Z49" s="67" t="s">
        <v>104</v>
      </c>
      <c r="AA49" s="67" t="s">
        <v>105</v>
      </c>
      <c r="AB49" s="67" t="s">
        <v>106</v>
      </c>
      <c r="AC49" s="67" t="s">
        <v>107</v>
      </c>
      <c r="AD49" s="67" t="s">
        <v>108</v>
      </c>
      <c r="AE49" s="67" t="s">
        <v>109</v>
      </c>
      <c r="AF49" s="67" t="s">
        <v>110</v>
      </c>
      <c r="AG49" s="67" t="s">
        <v>114</v>
      </c>
      <c r="AH49" s="67" t="s">
        <v>115</v>
      </c>
    </row>
    <row r="50" spans="1:34" ht="13.5" thickTop="1">
      <c r="A50" s="33" t="s">
        <v>70</v>
      </c>
      <c r="B50" s="36">
        <f aca="true" t="shared" si="9" ref="B50:AB50">B28+B29+B31</f>
        <v>0.05322839538134935</v>
      </c>
      <c r="C50" s="36">
        <f t="shared" si="9"/>
        <v>0.052122607569434445</v>
      </c>
      <c r="D50" s="36">
        <f t="shared" si="9"/>
        <v>0.05045766064118486</v>
      </c>
      <c r="E50" s="36">
        <f t="shared" si="9"/>
        <v>0.052285837456120546</v>
      </c>
      <c r="F50" s="36">
        <f t="shared" si="9"/>
        <v>0.0518921120230562</v>
      </c>
      <c r="G50" s="36">
        <f t="shared" si="9"/>
        <v>0.04859759036144578</v>
      </c>
      <c r="H50" s="36">
        <f t="shared" si="9"/>
        <v>0.05017146265096169</v>
      </c>
      <c r="I50" s="36">
        <f t="shared" si="9"/>
        <v>0.044802285565872346</v>
      </c>
      <c r="J50" s="36">
        <f t="shared" si="9"/>
        <v>0.04431216931216931</v>
      </c>
      <c r="K50" s="36">
        <f t="shared" si="9"/>
        <v>0.04114881534236373</v>
      </c>
      <c r="L50" s="36">
        <f t="shared" si="9"/>
        <v>0.033130779392338175</v>
      </c>
      <c r="M50" s="36">
        <f t="shared" si="9"/>
        <v>0.04629477624191483</v>
      </c>
      <c r="N50" s="36">
        <f t="shared" si="9"/>
        <v>0.05071381794368042</v>
      </c>
      <c r="O50" s="36">
        <f t="shared" si="9"/>
        <v>0.049001707992225696</v>
      </c>
      <c r="P50" s="36">
        <f t="shared" si="9"/>
        <v>0.05403336288177935</v>
      </c>
      <c r="Q50" s="36">
        <f t="shared" si="9"/>
        <v>0.04721340194897623</v>
      </c>
      <c r="R50" s="36">
        <f t="shared" si="9"/>
        <v>0.05461348618740546</v>
      </c>
      <c r="S50" s="36">
        <f t="shared" si="9"/>
        <v>0.05078266377126312</v>
      </c>
      <c r="T50" s="36">
        <f t="shared" si="9"/>
        <v>0.04829325058184639</v>
      </c>
      <c r="U50" s="36">
        <f t="shared" si="9"/>
        <v>0.03973794792045793</v>
      </c>
      <c r="V50" s="36">
        <f t="shared" si="9"/>
        <v>0.04106345555405222</v>
      </c>
      <c r="W50" s="36">
        <f t="shared" si="9"/>
        <v>0.03656680725248924</v>
      </c>
      <c r="X50" s="36">
        <f t="shared" si="9"/>
        <v>0.03354334901055994</v>
      </c>
      <c r="Y50" s="36">
        <f t="shared" si="9"/>
        <v>0.04027441209597597</v>
      </c>
      <c r="Z50" s="36">
        <f t="shared" si="9"/>
        <v>0.04532897463050785</v>
      </c>
      <c r="AA50" s="36">
        <f t="shared" si="9"/>
        <v>0.040884913599195535</v>
      </c>
      <c r="AB50" s="36">
        <f t="shared" si="9"/>
        <v>0.04754839298758218</v>
      </c>
      <c r="AC50" s="36">
        <f aca="true" t="shared" si="10" ref="AC50:AH50">AC28+AC29+AC31</f>
        <v>0.042236869807440035</v>
      </c>
      <c r="AD50" s="36">
        <f t="shared" si="10"/>
        <v>0.039239563075916466</v>
      </c>
      <c r="AE50" s="36">
        <f t="shared" si="10"/>
        <v>0.03383378587020178</v>
      </c>
      <c r="AF50" s="36">
        <f t="shared" si="10"/>
        <v>0.02661444210103445</v>
      </c>
      <c r="AG50" s="36">
        <f t="shared" si="10"/>
        <v>0.029132023179642228</v>
      </c>
      <c r="AH50" s="36">
        <f t="shared" si="10"/>
        <v>0.027988338192419825</v>
      </c>
    </row>
    <row r="51" spans="1:34" ht="12.75">
      <c r="A51" s="33" t="s">
        <v>71</v>
      </c>
      <c r="B51" s="36">
        <f aca="true" t="shared" si="11" ref="B51:AB51">B30+B32+B33+B34+B35</f>
        <v>0.33159012064412574</v>
      </c>
      <c r="C51" s="36">
        <f t="shared" si="11"/>
        <v>0.32237732047776657</v>
      </c>
      <c r="D51" s="36">
        <f t="shared" si="11"/>
        <v>0.3309185410054735</v>
      </c>
      <c r="E51" s="36">
        <f t="shared" si="11"/>
        <v>0.3409356845195328</v>
      </c>
      <c r="F51" s="36">
        <f t="shared" si="11"/>
        <v>0.33885721446024686</v>
      </c>
      <c r="G51" s="36">
        <f t="shared" si="11"/>
        <v>0.3396048192771084</v>
      </c>
      <c r="H51" s="36">
        <f t="shared" si="11"/>
        <v>0.3455345161771284</v>
      </c>
      <c r="I51" s="36">
        <f t="shared" si="11"/>
        <v>0.32790078566326863</v>
      </c>
      <c r="J51" s="36">
        <f t="shared" si="11"/>
        <v>0.32497911445279865</v>
      </c>
      <c r="K51" s="36">
        <f t="shared" si="11"/>
        <v>0.30819717916492106</v>
      </c>
      <c r="L51" s="36">
        <f t="shared" si="11"/>
        <v>0.29669749009247026</v>
      </c>
      <c r="M51" s="36">
        <f t="shared" si="11"/>
        <v>0.30147420954132054</v>
      </c>
      <c r="N51" s="36">
        <f t="shared" si="11"/>
        <v>0.2960576293385724</v>
      </c>
      <c r="O51" s="36">
        <f t="shared" si="11"/>
        <v>0.2864715236468579</v>
      </c>
      <c r="P51" s="36">
        <f t="shared" si="11"/>
        <v>0.2991578692884197</v>
      </c>
      <c r="Q51" s="36">
        <f t="shared" si="11"/>
        <v>0.3082229278440819</v>
      </c>
      <c r="R51" s="36">
        <f t="shared" si="11"/>
        <v>0.31633627895868166</v>
      </c>
      <c r="S51" s="36">
        <f t="shared" si="11"/>
        <v>0.311685667752443</v>
      </c>
      <c r="T51" s="36">
        <f t="shared" si="11"/>
        <v>0.3060234955114707</v>
      </c>
      <c r="U51" s="36">
        <f t="shared" si="11"/>
        <v>0.3024848625219204</v>
      </c>
      <c r="V51" s="36">
        <f t="shared" si="11"/>
        <v>0.2999594100933568</v>
      </c>
      <c r="W51" s="36">
        <f t="shared" si="11"/>
        <v>0.31397017261620075</v>
      </c>
      <c r="X51" s="36">
        <f t="shared" si="11"/>
        <v>0.30898926257875586</v>
      </c>
      <c r="Y51" s="36">
        <f t="shared" si="11"/>
        <v>0.2967336769173009</v>
      </c>
      <c r="Z51" s="36">
        <f t="shared" si="11"/>
        <v>0.29729729729729726</v>
      </c>
      <c r="AA51" s="36">
        <f t="shared" si="11"/>
        <v>0.3057768133583847</v>
      </c>
      <c r="AB51" s="36">
        <f t="shared" si="11"/>
        <v>0.3147826880934989</v>
      </c>
      <c r="AC51" s="36">
        <f aca="true" t="shared" si="12" ref="AC51:AH51">AC30+AC32+AC33+AC34+AC35</f>
        <v>0.2949131131876852</v>
      </c>
      <c r="AD51" s="36">
        <f t="shared" si="12"/>
        <v>0.27733047381908726</v>
      </c>
      <c r="AE51" s="36">
        <f t="shared" si="12"/>
        <v>0.2698450726720971</v>
      </c>
      <c r="AF51" s="36">
        <f t="shared" si="12"/>
        <v>0.26514010244049413</v>
      </c>
      <c r="AG51" s="36">
        <f t="shared" si="12"/>
        <v>0.2601410934744268</v>
      </c>
      <c r="AH51" s="36">
        <f t="shared" si="12"/>
        <v>0.26160178357057107</v>
      </c>
    </row>
    <row r="52" spans="1:34" ht="12.75">
      <c r="A52" s="33" t="s">
        <v>72</v>
      </c>
      <c r="B52" s="43">
        <f aca="true" t="shared" si="13" ref="B52:AH52">B50+B51+B26+B27</f>
        <v>0.6584683891679181</v>
      </c>
      <c r="C52" s="43">
        <f t="shared" si="13"/>
        <v>0.6519211397323356</v>
      </c>
      <c r="D52" s="43">
        <f t="shared" si="13"/>
        <v>0.6523388988546984</v>
      </c>
      <c r="E52" s="43">
        <f t="shared" si="13"/>
        <v>0.6634573933036356</v>
      </c>
      <c r="F52" s="43">
        <f t="shared" si="13"/>
        <v>0.6607668692437817</v>
      </c>
      <c r="G52" s="43">
        <f t="shared" si="13"/>
        <v>0.6606072289156626</v>
      </c>
      <c r="H52" s="43">
        <f t="shared" si="13"/>
        <v>0.6774762685751206</v>
      </c>
      <c r="I52" s="43">
        <f t="shared" si="13"/>
        <v>0.6646970975910655</v>
      </c>
      <c r="J52" s="43">
        <f t="shared" si="13"/>
        <v>0.682261208576998</v>
      </c>
      <c r="K52" s="43">
        <f t="shared" si="13"/>
        <v>0.6857049760275566</v>
      </c>
      <c r="L52" s="43">
        <f t="shared" si="13"/>
        <v>0.6709114927344781</v>
      </c>
      <c r="M52" s="43">
        <f t="shared" si="13"/>
        <v>0.6593886462882096</v>
      </c>
      <c r="N52" s="43">
        <f t="shared" si="13"/>
        <v>0.6444269810085134</v>
      </c>
      <c r="O52" s="43">
        <f t="shared" si="13"/>
        <v>0.6676777195358974</v>
      </c>
      <c r="P52" s="43">
        <f t="shared" si="13"/>
        <v>0.6781972761705214</v>
      </c>
      <c r="Q52" s="43">
        <f t="shared" si="13"/>
        <v>0.6658272199715318</v>
      </c>
      <c r="R52" s="43">
        <f t="shared" si="13"/>
        <v>0.6874850728445188</v>
      </c>
      <c r="S52" s="43">
        <f t="shared" si="13"/>
        <v>0.678791169019182</v>
      </c>
      <c r="T52" s="43">
        <f t="shared" si="13"/>
        <v>0.6880195057076361</v>
      </c>
      <c r="U52" s="43">
        <f t="shared" si="13"/>
        <v>0.6788207656420606</v>
      </c>
      <c r="V52" s="43">
        <f t="shared" si="13"/>
        <v>0.6828575294276824</v>
      </c>
      <c r="W52" s="43">
        <f t="shared" si="13"/>
        <v>0.7070742206182878</v>
      </c>
      <c r="X52" s="43">
        <f t="shared" si="13"/>
        <v>0.6961132309876652</v>
      </c>
      <c r="Y52" s="43">
        <f t="shared" si="13"/>
        <v>0.6758251134851019</v>
      </c>
      <c r="Z52" s="43">
        <f t="shared" si="13"/>
        <v>0.6629909296008103</v>
      </c>
      <c r="AA52" s="43">
        <f t="shared" si="13"/>
        <v>0.6668607266664902</v>
      </c>
      <c r="AB52" s="43">
        <f t="shared" si="13"/>
        <v>0.6861303871439007</v>
      </c>
      <c r="AC52" s="43">
        <f t="shared" si="13"/>
        <v>0.6987384002461657</v>
      </c>
      <c r="AD52" s="43">
        <f t="shared" si="13"/>
        <v>0.7270133221860744</v>
      </c>
      <c r="AE52" s="43">
        <f t="shared" si="13"/>
        <v>0.7387797476441463</v>
      </c>
      <c r="AF52" s="43">
        <f t="shared" si="13"/>
        <v>0.7441331056877909</v>
      </c>
      <c r="AG52" s="43">
        <f t="shared" si="13"/>
        <v>0.7559838750314941</v>
      </c>
      <c r="AH52" s="43">
        <f t="shared" si="13"/>
        <v>0.7507460126907906</v>
      </c>
    </row>
    <row r="53" spans="1:34" ht="12.75">
      <c r="A53" s="33" t="s">
        <v>73</v>
      </c>
      <c r="B53" s="44">
        <f aca="true" t="shared" si="14" ref="B53:AB53">SUM(B36:B41)</f>
        <v>0.2924713923264122</v>
      </c>
      <c r="C53" s="44">
        <f t="shared" si="14"/>
        <v>0.292675205065477</v>
      </c>
      <c r="D53" s="44">
        <f t="shared" si="14"/>
        <v>0.29511062048663816</v>
      </c>
      <c r="E53" s="44">
        <f t="shared" si="14"/>
        <v>0.2854884733028144</v>
      </c>
      <c r="F53" s="44">
        <f t="shared" si="14"/>
        <v>0.29435812292462876</v>
      </c>
      <c r="G53" s="44">
        <f t="shared" si="14"/>
        <v>0.2835084337349397</v>
      </c>
      <c r="H53" s="44">
        <f t="shared" si="14"/>
        <v>0.2729486606033497</v>
      </c>
      <c r="I53" s="44">
        <f t="shared" si="14"/>
        <v>0.27907278748133235</v>
      </c>
      <c r="J53" s="44">
        <f t="shared" si="14"/>
        <v>0.2730437204121414</v>
      </c>
      <c r="K53" s="44">
        <f t="shared" si="14"/>
        <v>0.2701671088767863</v>
      </c>
      <c r="L53" s="44">
        <f t="shared" si="14"/>
        <v>0.27630118890356675</v>
      </c>
      <c r="M53" s="44">
        <f t="shared" si="14"/>
        <v>0.2925107528646945</v>
      </c>
      <c r="N53" s="44">
        <f t="shared" si="14"/>
        <v>0.30622134905042564</v>
      </c>
      <c r="O53" s="44">
        <f t="shared" si="14"/>
        <v>0.2837622945992108</v>
      </c>
      <c r="P53" s="44">
        <f t="shared" si="14"/>
        <v>0.2794544282375695</v>
      </c>
      <c r="Q53" s="44">
        <f t="shared" si="14"/>
        <v>0.2800613161064272</v>
      </c>
      <c r="R53" s="44">
        <f t="shared" si="14"/>
        <v>0.2670567629965767</v>
      </c>
      <c r="S53" s="44">
        <f t="shared" si="14"/>
        <v>0.2692272891784293</v>
      </c>
      <c r="T53" s="44">
        <f t="shared" si="14"/>
        <v>0.2667627174997229</v>
      </c>
      <c r="U53" s="44">
        <f t="shared" si="14"/>
        <v>0.26939747874135594</v>
      </c>
      <c r="V53" s="44">
        <f t="shared" si="14"/>
        <v>0.26921255581112163</v>
      </c>
      <c r="W53" s="44">
        <f t="shared" si="14"/>
        <v>0.25201095699813036</v>
      </c>
      <c r="X53" s="44">
        <f t="shared" si="14"/>
        <v>0.25565711243233646</v>
      </c>
      <c r="Y53" s="44">
        <f t="shared" si="14"/>
        <v>0.271715758217004</v>
      </c>
      <c r="Z53" s="44">
        <f t="shared" si="14"/>
        <v>0.2845665085869515</v>
      </c>
      <c r="AA53" s="44">
        <f t="shared" si="14"/>
        <v>0.2767207388393448</v>
      </c>
      <c r="AB53" s="44">
        <f t="shared" si="14"/>
        <v>0.26360482103725347</v>
      </c>
      <c r="AC53" s="44">
        <f aca="true" t="shared" si="15" ref="AC53:AH53">SUM(AC36:AC41)</f>
        <v>0.24407663530211993</v>
      </c>
      <c r="AD53" s="44">
        <f t="shared" si="15"/>
        <v>0.22311481070863853</v>
      </c>
      <c r="AE53" s="44">
        <f t="shared" si="15"/>
        <v>0.2076878028004046</v>
      </c>
      <c r="AF53" s="44">
        <f t="shared" si="15"/>
        <v>0.1983863948311071</v>
      </c>
      <c r="AG53" s="44">
        <f t="shared" si="15"/>
        <v>0.19283824640967498</v>
      </c>
      <c r="AH53" s="44">
        <f t="shared" si="15"/>
        <v>0.19866232207168583</v>
      </c>
    </row>
    <row r="54" spans="1:34" ht="12.75">
      <c r="A54" s="33" t="s">
        <v>74</v>
      </c>
      <c r="B54" s="36">
        <f aca="true" t="shared" si="16" ref="B54:AB54">SUM(B42:B44)</f>
        <v>0.04906021850566976</v>
      </c>
      <c r="C54" s="36">
        <f t="shared" si="16"/>
        <v>0.05540365520218737</v>
      </c>
      <c r="D54" s="36">
        <f t="shared" si="16"/>
        <v>0.05255048065866336</v>
      </c>
      <c r="E54" s="36">
        <f t="shared" si="16"/>
        <v>0.05105413339354997</v>
      </c>
      <c r="F54" s="36">
        <f t="shared" si="16"/>
        <v>0.0448750078315895</v>
      </c>
      <c r="G54" s="36">
        <f t="shared" si="16"/>
        <v>0.055884337349397586</v>
      </c>
      <c r="H54" s="36">
        <f t="shared" si="16"/>
        <v>0.049575070821529746</v>
      </c>
      <c r="I54" s="36">
        <f t="shared" si="16"/>
        <v>0.056230114927602104</v>
      </c>
      <c r="J54" s="36">
        <f t="shared" si="16"/>
        <v>0.04469507101086048</v>
      </c>
      <c r="K54" s="36">
        <f t="shared" si="16"/>
        <v>0.044127915095657035</v>
      </c>
      <c r="L54" s="36">
        <f t="shared" si="16"/>
        <v>0.05278731836195509</v>
      </c>
      <c r="M54" s="36">
        <f t="shared" si="16"/>
        <v>0.04810060084709591</v>
      </c>
      <c r="N54" s="36">
        <f t="shared" si="16"/>
        <v>0.04935166994106091</v>
      </c>
      <c r="O54" s="36">
        <f t="shared" si="16"/>
        <v>0.04855998586489192</v>
      </c>
      <c r="P54" s="36">
        <f t="shared" si="16"/>
        <v>0.0423482955919091</v>
      </c>
      <c r="Q54" s="36">
        <f t="shared" si="16"/>
        <v>0.054111463922040956</v>
      </c>
      <c r="R54" s="36">
        <f t="shared" si="16"/>
        <v>0.045458164158904545</v>
      </c>
      <c r="S54" s="36">
        <f t="shared" si="16"/>
        <v>0.0519815418023887</v>
      </c>
      <c r="T54" s="36">
        <f t="shared" si="16"/>
        <v>0.04521777679264102</v>
      </c>
      <c r="U54" s="36">
        <f t="shared" si="16"/>
        <v>0.051781755616583394</v>
      </c>
      <c r="V54" s="36">
        <f t="shared" si="16"/>
        <v>0.047929914761196055</v>
      </c>
      <c r="W54" s="36">
        <f t="shared" si="16"/>
        <v>0.0409148223835819</v>
      </c>
      <c r="X54" s="36">
        <f t="shared" si="16"/>
        <v>0.048229656579998226</v>
      </c>
      <c r="Y54" s="36">
        <f t="shared" si="16"/>
        <v>0.05245912829789413</v>
      </c>
      <c r="Z54" s="36">
        <f t="shared" si="16"/>
        <v>0.05244256181223812</v>
      </c>
      <c r="AA54" s="36">
        <f t="shared" si="16"/>
        <v>0.056418534494164965</v>
      </c>
      <c r="AB54" s="36">
        <f t="shared" si="16"/>
        <v>0.050264791818845876</v>
      </c>
      <c r="AC54" s="36">
        <f aca="true" t="shared" si="17" ref="AC54:AH54">SUM(AC42:AC44)</f>
        <v>0.057184964451714254</v>
      </c>
      <c r="AD54" s="36">
        <f t="shared" si="17"/>
        <v>0.04987186710528707</v>
      </c>
      <c r="AE54" s="36">
        <f t="shared" si="17"/>
        <v>0.05353244955544908</v>
      </c>
      <c r="AF54" s="36">
        <f t="shared" si="17"/>
        <v>0.05748049948110207</v>
      </c>
      <c r="AG54" s="36">
        <f t="shared" si="17"/>
        <v>0.05117787855883094</v>
      </c>
      <c r="AH54" s="36">
        <f t="shared" si="17"/>
        <v>0.05059166523752358</v>
      </c>
    </row>
    <row r="55" spans="1:34" ht="12.75">
      <c r="A55" s="33" t="s">
        <v>75</v>
      </c>
      <c r="B55" s="36">
        <f aca="true" t="shared" si="18" ref="B55:AB55">+B26+B27</f>
        <v>0.27364987314244293</v>
      </c>
      <c r="C55" s="36">
        <f t="shared" si="18"/>
        <v>0.27742121168513456</v>
      </c>
      <c r="D55" s="36">
        <f t="shared" si="18"/>
        <v>0.2709626972080401</v>
      </c>
      <c r="E55" s="36">
        <f t="shared" si="18"/>
        <v>0.27023587132798227</v>
      </c>
      <c r="F55" s="36">
        <f t="shared" si="18"/>
        <v>0.2700175427604787</v>
      </c>
      <c r="G55" s="36">
        <f t="shared" si="18"/>
        <v>0.27240481927710847</v>
      </c>
      <c r="H55" s="36">
        <f t="shared" si="18"/>
        <v>0.28177028974703044</v>
      </c>
      <c r="I55" s="36">
        <f t="shared" si="18"/>
        <v>0.29199402636192456</v>
      </c>
      <c r="J55" s="36">
        <f t="shared" si="18"/>
        <v>0.3129699248120301</v>
      </c>
      <c r="K55" s="36">
        <f t="shared" si="18"/>
        <v>0.3363589815202719</v>
      </c>
      <c r="L55" s="36">
        <f t="shared" si="18"/>
        <v>0.3410832232496698</v>
      </c>
      <c r="M55" s="36">
        <f t="shared" si="18"/>
        <v>0.31161966050497425</v>
      </c>
      <c r="N55" s="36">
        <f t="shared" si="18"/>
        <v>0.29765553372626063</v>
      </c>
      <c r="O55" s="36">
        <f t="shared" si="18"/>
        <v>0.33220448789681367</v>
      </c>
      <c r="P55" s="36">
        <f t="shared" si="18"/>
        <v>0.32500604400032235</v>
      </c>
      <c r="Q55" s="36">
        <f t="shared" si="18"/>
        <v>0.31039089017847366</v>
      </c>
      <c r="R55" s="36">
        <f t="shared" si="18"/>
        <v>0.31653530769843163</v>
      </c>
      <c r="S55" s="36">
        <f t="shared" si="18"/>
        <v>0.31632283749547596</v>
      </c>
      <c r="T55" s="36">
        <f t="shared" si="18"/>
        <v>0.33370275961431894</v>
      </c>
      <c r="U55" s="36">
        <f t="shared" si="18"/>
        <v>0.3365979551996824</v>
      </c>
      <c r="V55" s="36">
        <f t="shared" si="18"/>
        <v>0.3418346637802733</v>
      </c>
      <c r="W55" s="36">
        <f t="shared" si="18"/>
        <v>0.3565372407495978</v>
      </c>
      <c r="X55" s="36">
        <f t="shared" si="18"/>
        <v>0.35358061939834945</v>
      </c>
      <c r="Y55" s="36">
        <f t="shared" si="18"/>
        <v>0.338817024471825</v>
      </c>
      <c r="Z55" s="36">
        <f t="shared" si="18"/>
        <v>0.3203646576730052</v>
      </c>
      <c r="AA55" s="36">
        <f t="shared" si="18"/>
        <v>0.32019899970890997</v>
      </c>
      <c r="AB55" s="36">
        <f t="shared" si="18"/>
        <v>0.3237993060628196</v>
      </c>
      <c r="AC55" s="36">
        <f aca="true" t="shared" si="19" ref="AC55:AH55">+AC26+AC27</f>
        <v>0.3615884172510405</v>
      </c>
      <c r="AD55" s="36">
        <f t="shared" si="19"/>
        <v>0.41044328529107066</v>
      </c>
      <c r="AE55" s="36">
        <f t="shared" si="19"/>
        <v>0.4351008891018474</v>
      </c>
      <c r="AF55" s="36">
        <f t="shared" si="19"/>
        <v>0.4523785611462623</v>
      </c>
      <c r="AG55" s="36">
        <f t="shared" si="19"/>
        <v>0.46671075837742504</v>
      </c>
      <c r="AH55" s="36">
        <f t="shared" si="19"/>
        <v>0.4611558909277997</v>
      </c>
    </row>
    <row r="56" spans="1:34" ht="12.75">
      <c r="A56" s="33" t="s">
        <v>76</v>
      </c>
      <c r="B56" s="36">
        <f aca="true" t="shared" si="20" ref="B56:AB56">SUM(B28:B44)</f>
        <v>0.7263501268575572</v>
      </c>
      <c r="C56" s="36">
        <f t="shared" si="20"/>
        <v>0.7225787883148654</v>
      </c>
      <c r="D56" s="36">
        <f t="shared" si="20"/>
        <v>0.7290373027919599</v>
      </c>
      <c r="E56" s="36">
        <f t="shared" si="20"/>
        <v>0.7297641286720178</v>
      </c>
      <c r="F56" s="36">
        <f t="shared" si="20"/>
        <v>0.7299824572395214</v>
      </c>
      <c r="G56" s="36">
        <f t="shared" si="20"/>
        <v>0.7275951807228915</v>
      </c>
      <c r="H56" s="36">
        <f t="shared" si="20"/>
        <v>0.7182297102529694</v>
      </c>
      <c r="I56" s="36">
        <f t="shared" si="20"/>
        <v>0.7080059736380755</v>
      </c>
      <c r="J56" s="36">
        <f t="shared" si="20"/>
        <v>0.68703007518797</v>
      </c>
      <c r="K56" s="36">
        <f t="shared" si="20"/>
        <v>0.6636410184797281</v>
      </c>
      <c r="L56" s="36">
        <f t="shared" si="20"/>
        <v>0.6589167767503302</v>
      </c>
      <c r="M56" s="36">
        <f t="shared" si="20"/>
        <v>0.6883803394950258</v>
      </c>
      <c r="N56" s="36">
        <f t="shared" si="20"/>
        <v>0.7023444662737394</v>
      </c>
      <c r="O56" s="36">
        <f t="shared" si="20"/>
        <v>0.6677955121031862</v>
      </c>
      <c r="P56" s="36">
        <f t="shared" si="20"/>
        <v>0.6749939559996777</v>
      </c>
      <c r="Q56" s="36">
        <f t="shared" si="20"/>
        <v>0.6896091098215262</v>
      </c>
      <c r="R56" s="36">
        <f t="shared" si="20"/>
        <v>0.6834646923015684</v>
      </c>
      <c r="S56" s="36">
        <f t="shared" si="20"/>
        <v>0.683677162504524</v>
      </c>
      <c r="T56" s="36">
        <f t="shared" si="20"/>
        <v>0.6662972403856812</v>
      </c>
      <c r="U56" s="36">
        <f t="shared" si="20"/>
        <v>0.6634020448003176</v>
      </c>
      <c r="V56" s="36">
        <f t="shared" si="20"/>
        <v>0.6581653362197267</v>
      </c>
      <c r="W56" s="36">
        <f t="shared" si="20"/>
        <v>0.6434627592504022</v>
      </c>
      <c r="X56" s="36">
        <f t="shared" si="20"/>
        <v>0.6464193806016506</v>
      </c>
      <c r="Y56" s="36">
        <f t="shared" si="20"/>
        <v>0.661182975528175</v>
      </c>
      <c r="Z56" s="36">
        <f t="shared" si="20"/>
        <v>0.6796353423269949</v>
      </c>
      <c r="AA56" s="36">
        <f t="shared" si="20"/>
        <v>0.67980100029109</v>
      </c>
      <c r="AB56" s="36">
        <f t="shared" si="20"/>
        <v>0.6762006939371804</v>
      </c>
      <c r="AC56" s="36">
        <f aca="true" t="shared" si="21" ref="AC56:AH56">SUM(AC28:AC44)</f>
        <v>0.6384115827489596</v>
      </c>
      <c r="AD56" s="36">
        <f t="shared" si="21"/>
        <v>0.5895567147089293</v>
      </c>
      <c r="AE56" s="36">
        <f t="shared" si="21"/>
        <v>0.5648991108981527</v>
      </c>
      <c r="AF56" s="36">
        <f t="shared" si="21"/>
        <v>0.5476214388537377</v>
      </c>
      <c r="AG56" s="36">
        <f t="shared" si="21"/>
        <v>0.533289241622575</v>
      </c>
      <c r="AH56" s="36">
        <f t="shared" si="21"/>
        <v>0.5388441090722003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workbookViewId="0" topLeftCell="A1">
      <selection activeCell="AI21" sqref="AI21"/>
    </sheetView>
  </sheetViews>
  <sheetFormatPr defaultColWidth="11.421875" defaultRowHeight="12.75"/>
  <cols>
    <col min="1" max="1" width="37.140625" style="0" customWidth="1"/>
    <col min="2" max="2" width="13.57421875" style="0" customWidth="1"/>
  </cols>
  <sheetData>
    <row r="1" spans="1:2" ht="12.75">
      <c r="A1" s="31" t="s">
        <v>113</v>
      </c>
      <c r="B1" s="45"/>
    </row>
    <row r="2" spans="1:34" ht="13.5" thickBot="1">
      <c r="A2" s="46" t="s">
        <v>0</v>
      </c>
      <c r="B2" s="67" t="s">
        <v>80</v>
      </c>
      <c r="C2" s="67" t="s">
        <v>81</v>
      </c>
      <c r="D2" s="67" t="s">
        <v>82</v>
      </c>
      <c r="E2" s="67" t="s">
        <v>83</v>
      </c>
      <c r="F2" s="67" t="s">
        <v>84</v>
      </c>
      <c r="G2" s="67" t="s">
        <v>85</v>
      </c>
      <c r="H2" s="67" t="s">
        <v>86</v>
      </c>
      <c r="I2" s="67" t="s">
        <v>87</v>
      </c>
      <c r="J2" s="67" t="s">
        <v>88</v>
      </c>
      <c r="K2" s="67" t="s">
        <v>89</v>
      </c>
      <c r="L2" s="67" t="s">
        <v>90</v>
      </c>
      <c r="M2" s="67" t="s">
        <v>91</v>
      </c>
      <c r="N2" s="67" t="s">
        <v>92</v>
      </c>
      <c r="O2" s="67" t="s">
        <v>93</v>
      </c>
      <c r="P2" s="67" t="s">
        <v>94</v>
      </c>
      <c r="Q2" s="67" t="s">
        <v>95</v>
      </c>
      <c r="R2" s="67" t="s">
        <v>96</v>
      </c>
      <c r="S2" s="67" t="s">
        <v>97</v>
      </c>
      <c r="T2" s="67" t="s">
        <v>98</v>
      </c>
      <c r="U2" s="67" t="s">
        <v>99</v>
      </c>
      <c r="V2" s="67" t="s">
        <v>100</v>
      </c>
      <c r="W2" s="67" t="s">
        <v>101</v>
      </c>
      <c r="X2" s="67" t="s">
        <v>102</v>
      </c>
      <c r="Y2" s="67" t="s">
        <v>103</v>
      </c>
      <c r="Z2" s="67" t="s">
        <v>104</v>
      </c>
      <c r="AA2" s="67" t="s">
        <v>105</v>
      </c>
      <c r="AB2" s="67" t="s">
        <v>106</v>
      </c>
      <c r="AC2" s="67" t="s">
        <v>107</v>
      </c>
      <c r="AD2" s="67" t="s">
        <v>108</v>
      </c>
      <c r="AE2" s="67" t="s">
        <v>109</v>
      </c>
      <c r="AF2" s="67" t="s">
        <v>110</v>
      </c>
      <c r="AG2" s="67" t="s">
        <v>114</v>
      </c>
      <c r="AH2" s="67" t="s">
        <v>115</v>
      </c>
    </row>
    <row r="3" spans="1:34" ht="13.5" thickTop="1">
      <c r="A3" s="47" t="s">
        <v>29</v>
      </c>
      <c r="B3" s="48">
        <f>'Tableau sortie'!D30</f>
        <v>437</v>
      </c>
      <c r="C3" s="48">
        <f>'Tableau sortie'!E30</f>
        <v>388</v>
      </c>
      <c r="D3" s="48">
        <f>'Tableau sortie'!F30</f>
        <v>381</v>
      </c>
      <c r="E3" s="48">
        <f>'Tableau sortie'!G30</f>
        <v>335</v>
      </c>
      <c r="F3" s="48">
        <f>'Tableau sortie'!H30</f>
        <v>277</v>
      </c>
      <c r="G3" s="48">
        <f>'Tableau sortie'!I30</f>
        <v>372</v>
      </c>
      <c r="H3" s="48">
        <f>'Tableau sortie'!J30</f>
        <v>405</v>
      </c>
      <c r="I3" s="48">
        <f>'Tableau sortie'!K30</f>
        <v>410</v>
      </c>
      <c r="J3" s="48">
        <f>'Tableau sortie'!L30</f>
        <v>537</v>
      </c>
      <c r="K3" s="48">
        <f>'Tableau sortie'!M30</f>
        <v>563</v>
      </c>
      <c r="L3" s="48">
        <f>'Tableau sortie'!N30</f>
        <v>515</v>
      </c>
      <c r="M3" s="48">
        <f>'Tableau sortie'!O30</f>
        <v>551</v>
      </c>
      <c r="N3" s="48">
        <f>'Tableau sortie'!P30</f>
        <v>510</v>
      </c>
      <c r="O3" s="48">
        <f>'Tableau sortie'!Q30</f>
        <v>528</v>
      </c>
      <c r="P3" s="48">
        <f>'Tableau sortie'!R30</f>
        <v>503</v>
      </c>
      <c r="Q3" s="48">
        <f>'Tableau sortie'!S30</f>
        <v>392</v>
      </c>
      <c r="R3" s="48">
        <f>'Tableau sortie'!T30</f>
        <v>387</v>
      </c>
      <c r="S3" s="48">
        <f>'Tableau sortie'!U30</f>
        <v>461</v>
      </c>
      <c r="T3" s="48">
        <f>'Tableau sortie'!V30</f>
        <v>403</v>
      </c>
      <c r="U3" s="48">
        <f>'Tableau sortie'!W30</f>
        <v>463</v>
      </c>
      <c r="V3" s="48">
        <f>'Tableau sortie'!X30</f>
        <v>558</v>
      </c>
      <c r="W3" s="48">
        <f>'Tableau sortie'!Y30</f>
        <v>604</v>
      </c>
      <c r="X3" s="48">
        <f>'Tableau sortie'!Z30</f>
        <v>506</v>
      </c>
      <c r="Y3" s="48">
        <f>'Tableau sortie'!AA30</f>
        <v>552</v>
      </c>
      <c r="Z3" s="48">
        <f>'Tableau sortie'!AB30</f>
        <v>574</v>
      </c>
      <c r="AA3" s="48">
        <f>'Tableau sortie'!AC30</f>
        <v>445</v>
      </c>
      <c r="AB3" s="48">
        <f>'Tableau sortie'!AD30</f>
        <v>426</v>
      </c>
      <c r="AC3" s="48">
        <f>'Tableau sortie'!AE30</f>
        <v>403</v>
      </c>
      <c r="AD3" s="48">
        <f>'Tableau sortie'!AF30</f>
        <v>337</v>
      </c>
      <c r="AE3" s="48">
        <f>'Tableau sortie'!AG30</f>
        <v>450</v>
      </c>
      <c r="AF3" s="48">
        <f>'Tableau sortie'!AH30</f>
        <v>375</v>
      </c>
      <c r="AG3" s="48">
        <f>'Tableau sortie'!AI30</f>
        <v>488</v>
      </c>
      <c r="AH3" s="48">
        <f>'Tableau sortie'!AJ30</f>
        <v>530</v>
      </c>
    </row>
    <row r="4" spans="1:34" ht="12.75">
      <c r="A4" s="49" t="s">
        <v>28</v>
      </c>
      <c r="B4" s="50">
        <f>'Tableau sortie'!D29</f>
        <v>274</v>
      </c>
      <c r="C4" s="50">
        <f>'Tableau sortie'!E29</f>
        <v>234</v>
      </c>
      <c r="D4" s="50">
        <f>'Tableau sortie'!F29</f>
        <v>224</v>
      </c>
      <c r="E4" s="50">
        <f>'Tableau sortie'!G29</f>
        <v>198</v>
      </c>
      <c r="F4" s="50">
        <f>'Tableau sortie'!H29</f>
        <v>174</v>
      </c>
      <c r="G4" s="50">
        <f>'Tableau sortie'!I29</f>
        <v>233</v>
      </c>
      <c r="H4" s="50">
        <f>'Tableau sortie'!J29</f>
        <v>219</v>
      </c>
      <c r="I4" s="50">
        <f>'Tableau sortie'!K29</f>
        <v>238</v>
      </c>
      <c r="J4" s="50">
        <f>'Tableau sortie'!L29</f>
        <v>254</v>
      </c>
      <c r="K4" s="50">
        <f>'Tableau sortie'!M29</f>
        <v>313</v>
      </c>
      <c r="L4" s="50">
        <f>'Tableau sortie'!N29</f>
        <v>289</v>
      </c>
      <c r="M4" s="50">
        <f>'Tableau sortie'!O29</f>
        <v>313</v>
      </c>
      <c r="N4" s="50">
        <f>'Tableau sortie'!P29</f>
        <v>187</v>
      </c>
      <c r="O4" s="50">
        <f>'Tableau sortie'!Q29</f>
        <v>198</v>
      </c>
      <c r="P4" s="50">
        <f>'Tableau sortie'!R29</f>
        <v>221</v>
      </c>
      <c r="Q4" s="50">
        <f>'Tableau sortie'!S29</f>
        <v>207</v>
      </c>
      <c r="R4" s="50">
        <f>'Tableau sortie'!T29</f>
        <v>206</v>
      </c>
      <c r="S4" s="50">
        <f>'Tableau sortie'!U29</f>
        <v>297</v>
      </c>
      <c r="T4" s="50">
        <f>'Tableau sortie'!V29</f>
        <v>216</v>
      </c>
      <c r="U4" s="50">
        <f>'Tableau sortie'!W29</f>
        <v>276</v>
      </c>
      <c r="V4" s="50">
        <f>'Tableau sortie'!X29</f>
        <v>314</v>
      </c>
      <c r="W4" s="50">
        <f>'Tableau sortie'!Y29</f>
        <v>351</v>
      </c>
      <c r="X4" s="50">
        <f>'Tableau sortie'!Z29</f>
        <v>399</v>
      </c>
      <c r="Y4" s="50">
        <f>'Tableau sortie'!AA29</f>
        <v>288</v>
      </c>
      <c r="Z4" s="50">
        <f>'Tableau sortie'!AB29</f>
        <v>251</v>
      </c>
      <c r="AA4" s="50">
        <f>'Tableau sortie'!AC29</f>
        <v>228</v>
      </c>
      <c r="AB4" s="50">
        <f>'Tableau sortie'!AD29</f>
        <v>202</v>
      </c>
      <c r="AC4" s="50">
        <f>'Tableau sortie'!AE29</f>
        <v>241</v>
      </c>
      <c r="AD4" s="50">
        <f>'Tableau sortie'!AF29</f>
        <v>173</v>
      </c>
      <c r="AE4" s="50">
        <f>'Tableau sortie'!AG29</f>
        <v>219</v>
      </c>
      <c r="AF4" s="50">
        <f>'Tableau sortie'!AH29</f>
        <v>189</v>
      </c>
      <c r="AG4" s="50">
        <f>'Tableau sortie'!AI29</f>
        <v>282</v>
      </c>
      <c r="AH4" s="50">
        <f>'Tableau sortie'!AJ29</f>
        <v>300</v>
      </c>
    </row>
    <row r="5" spans="1:34" ht="12.75">
      <c r="A5" s="51" t="s">
        <v>46</v>
      </c>
      <c r="B5" s="52">
        <f>'Tableau sortie'!D47</f>
        <v>1547</v>
      </c>
      <c r="C5" s="52">
        <f>'Tableau sortie'!E47</f>
        <v>1438</v>
      </c>
      <c r="D5" s="52">
        <f>'Tableau sortie'!F47</f>
        <v>1683</v>
      </c>
      <c r="E5" s="52">
        <f>'Tableau sortie'!G47</f>
        <v>1777</v>
      </c>
      <c r="F5" s="52">
        <f>'Tableau sortie'!H47</f>
        <v>1980</v>
      </c>
      <c r="G5" s="52">
        <f>'Tableau sortie'!I47</f>
        <v>1875</v>
      </c>
      <c r="H5" s="52">
        <f>'Tableau sortie'!J47</f>
        <v>1563</v>
      </c>
      <c r="I5" s="52">
        <f>'Tableau sortie'!K47</f>
        <v>1380</v>
      </c>
      <c r="J5" s="52">
        <f>'Tableau sortie'!L47</f>
        <v>1292</v>
      </c>
      <c r="K5" s="52">
        <f>'Tableau sortie'!M47</f>
        <v>1228</v>
      </c>
      <c r="L5" s="52">
        <f>'Tableau sortie'!N47</f>
        <v>1182</v>
      </c>
      <c r="M5" s="52">
        <f>'Tableau sortie'!O47</f>
        <v>1472</v>
      </c>
      <c r="N5" s="52">
        <f>'Tableau sortie'!P47</f>
        <v>1632</v>
      </c>
      <c r="O5" s="52">
        <f>'Tableau sortie'!Q47</f>
        <v>1399</v>
      </c>
      <c r="P5" s="52">
        <f>'Tableau sortie'!R47</f>
        <v>1863</v>
      </c>
      <c r="Q5" s="52">
        <f>'Tableau sortie'!S47</f>
        <v>1827</v>
      </c>
      <c r="R5" s="52">
        <f>'Tableau sortie'!T47</f>
        <v>1789</v>
      </c>
      <c r="S5" s="52">
        <f>'Tableau sortie'!U47</f>
        <v>1676</v>
      </c>
      <c r="T5" s="52">
        <f>'Tableau sortie'!V47</f>
        <v>1275</v>
      </c>
      <c r="U5" s="52">
        <f>'Tableau sortie'!W47</f>
        <v>1405</v>
      </c>
      <c r="V5" s="52">
        <f>'Tableau sortie'!X47</f>
        <v>1393</v>
      </c>
      <c r="W5" s="52">
        <f>'Tableau sortie'!Y47</f>
        <v>1303</v>
      </c>
      <c r="X5" s="52">
        <f>'Tableau sortie'!Z47</f>
        <v>1332</v>
      </c>
      <c r="Y5" s="52">
        <f>'Tableau sortie'!AA47</f>
        <v>1496</v>
      </c>
      <c r="Z5" s="52">
        <f>'Tableau sortie'!AB47</f>
        <v>1835</v>
      </c>
      <c r="AA5" s="52">
        <f>'Tableau sortie'!AC47</f>
        <v>1651</v>
      </c>
      <c r="AB5" s="52">
        <f>'Tableau sortie'!AD47</f>
        <v>1581</v>
      </c>
      <c r="AC5" s="52">
        <f>'Tableau sortie'!AE47</f>
        <v>2233</v>
      </c>
      <c r="AD5" s="52">
        <f>'Tableau sortie'!AF47</f>
        <v>1869</v>
      </c>
      <c r="AE5" s="52">
        <f>'Tableau sortie'!AG47</f>
        <v>1569</v>
      </c>
      <c r="AF5" s="52">
        <f>'Tableau sortie'!AH47</f>
        <v>1329</v>
      </c>
      <c r="AG5" s="52">
        <f>'Tableau sortie'!AI47</f>
        <v>1391</v>
      </c>
      <c r="AH5" s="52">
        <f>'Tableau sortie'!AJ47</f>
        <v>1386</v>
      </c>
    </row>
    <row r="6" spans="1:34" ht="12.75">
      <c r="A6" s="53" t="s">
        <v>47</v>
      </c>
      <c r="B6" s="54">
        <f>'Tableau sortie'!D48</f>
        <v>802</v>
      </c>
      <c r="C6" s="54">
        <f>'Tableau sortie'!E48</f>
        <v>699</v>
      </c>
      <c r="D6" s="54">
        <f>'Tableau sortie'!F48</f>
        <v>580</v>
      </c>
      <c r="E6" s="54">
        <f>'Tableau sortie'!G48</f>
        <v>639</v>
      </c>
      <c r="F6" s="54">
        <f>'Tableau sortie'!H48</f>
        <v>487</v>
      </c>
      <c r="G6" s="54">
        <f>'Tableau sortie'!I48</f>
        <v>638</v>
      </c>
      <c r="H6" s="54">
        <f>'Tableau sortie'!J48</f>
        <v>616</v>
      </c>
      <c r="I6" s="54">
        <f>'Tableau sortie'!K48</f>
        <v>646</v>
      </c>
      <c r="J6" s="54">
        <f>'Tableau sortie'!L48</f>
        <v>735</v>
      </c>
      <c r="K6" s="54">
        <f>'Tableau sortie'!M48</f>
        <v>787</v>
      </c>
      <c r="L6" s="54">
        <f>'Tableau sortie'!N48</f>
        <v>693</v>
      </c>
      <c r="M6" s="54">
        <f>'Tableau sortie'!O48</f>
        <v>804</v>
      </c>
      <c r="N6" s="54">
        <f>'Tableau sortie'!P48</f>
        <v>618</v>
      </c>
      <c r="O6" s="54">
        <f>'Tableau sortie'!Q48</f>
        <v>593</v>
      </c>
      <c r="P6" s="54">
        <f>'Tableau sortie'!R48</f>
        <v>538</v>
      </c>
      <c r="Q6" s="54">
        <f>'Tableau sortie'!S48</f>
        <v>496</v>
      </c>
      <c r="R6" s="54">
        <f>'Tableau sortie'!T48</f>
        <v>518</v>
      </c>
      <c r="S6" s="54">
        <f>'Tableau sortie'!U48</f>
        <v>640</v>
      </c>
      <c r="T6" s="54">
        <f>'Tableau sortie'!V48</f>
        <v>562</v>
      </c>
      <c r="U6" s="54">
        <f>'Tableau sortie'!W48</f>
        <v>611</v>
      </c>
      <c r="V6" s="54">
        <f>'Tableau sortie'!X48</f>
        <v>721</v>
      </c>
      <c r="W6" s="54">
        <f>'Tableau sortie'!Y48</f>
        <v>859</v>
      </c>
      <c r="X6" s="54">
        <f>'Tableau sortie'!Z48</f>
        <v>837</v>
      </c>
      <c r="Y6" s="54">
        <f>'Tableau sortie'!AA48</f>
        <v>786</v>
      </c>
      <c r="Z6" s="54">
        <f>'Tableau sortie'!AB48</f>
        <v>744</v>
      </c>
      <c r="AA6" s="54">
        <f>'Tableau sortie'!AC48</f>
        <v>649</v>
      </c>
      <c r="AB6" s="54">
        <f>'Tableau sortie'!AD48</f>
        <v>520</v>
      </c>
      <c r="AC6" s="54">
        <f>'Tableau sortie'!AE48</f>
        <v>550</v>
      </c>
      <c r="AD6" s="54">
        <f>'Tableau sortie'!AF48</f>
        <v>459</v>
      </c>
      <c r="AE6" s="54">
        <f>'Tableau sortie'!AG48</f>
        <v>536</v>
      </c>
      <c r="AF6" s="54">
        <f>'Tableau sortie'!AH48</f>
        <v>530</v>
      </c>
      <c r="AG6" s="54">
        <f>'Tableau sortie'!AI48</f>
        <v>526</v>
      </c>
      <c r="AH6" s="54">
        <f>'Tableau sortie'!AJ48</f>
        <v>661</v>
      </c>
    </row>
    <row r="7" spans="1:34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s="58" customFormat="1" ht="13.5" thickTop="1">
      <c r="A8" s="56" t="s">
        <v>77</v>
      </c>
      <c r="B8" s="57">
        <f aca="true" t="shared" si="0" ref="B8:AB8">SUM(B3:B6)</f>
        <v>3060</v>
      </c>
      <c r="C8" s="57">
        <f t="shared" si="0"/>
        <v>2759</v>
      </c>
      <c r="D8" s="57">
        <f t="shared" si="0"/>
        <v>2868</v>
      </c>
      <c r="E8" s="57">
        <f t="shared" si="0"/>
        <v>2949</v>
      </c>
      <c r="F8" s="57">
        <f t="shared" si="0"/>
        <v>2918</v>
      </c>
      <c r="G8" s="57">
        <f t="shared" si="0"/>
        <v>3118</v>
      </c>
      <c r="H8" s="57">
        <f t="shared" si="0"/>
        <v>2803</v>
      </c>
      <c r="I8" s="57">
        <f t="shared" si="0"/>
        <v>2674</v>
      </c>
      <c r="J8" s="57">
        <f t="shared" si="0"/>
        <v>2818</v>
      </c>
      <c r="K8" s="57">
        <f t="shared" si="0"/>
        <v>2891</v>
      </c>
      <c r="L8" s="57">
        <f t="shared" si="0"/>
        <v>2679</v>
      </c>
      <c r="M8" s="57">
        <f t="shared" si="0"/>
        <v>3140</v>
      </c>
      <c r="N8" s="57">
        <f t="shared" si="0"/>
        <v>2947</v>
      </c>
      <c r="O8" s="57">
        <f t="shared" si="0"/>
        <v>2718</v>
      </c>
      <c r="P8" s="57">
        <f t="shared" si="0"/>
        <v>3125</v>
      </c>
      <c r="Q8" s="57">
        <f t="shared" si="0"/>
        <v>2922</v>
      </c>
      <c r="R8" s="57">
        <f t="shared" si="0"/>
        <v>2900</v>
      </c>
      <c r="S8" s="57">
        <f t="shared" si="0"/>
        <v>3074</v>
      </c>
      <c r="T8" s="57">
        <f t="shared" si="0"/>
        <v>2456</v>
      </c>
      <c r="U8" s="57">
        <f t="shared" si="0"/>
        <v>2755</v>
      </c>
      <c r="V8" s="57">
        <f t="shared" si="0"/>
        <v>2986</v>
      </c>
      <c r="W8" s="57">
        <f t="shared" si="0"/>
        <v>3117</v>
      </c>
      <c r="X8" s="57">
        <f t="shared" si="0"/>
        <v>3074</v>
      </c>
      <c r="Y8" s="57">
        <f t="shared" si="0"/>
        <v>3122</v>
      </c>
      <c r="Z8" s="57">
        <f t="shared" si="0"/>
        <v>3404</v>
      </c>
      <c r="AA8" s="57">
        <f t="shared" si="0"/>
        <v>2973</v>
      </c>
      <c r="AB8" s="57">
        <f t="shared" si="0"/>
        <v>2729</v>
      </c>
      <c r="AC8" s="57">
        <f aca="true" t="shared" si="1" ref="AC8:AH8">SUM(AC3:AC6)</f>
        <v>3427</v>
      </c>
      <c r="AD8" s="57">
        <f t="shared" si="1"/>
        <v>2838</v>
      </c>
      <c r="AE8" s="57">
        <f t="shared" si="1"/>
        <v>2774</v>
      </c>
      <c r="AF8" s="57">
        <f t="shared" si="1"/>
        <v>2423</v>
      </c>
      <c r="AG8" s="57">
        <f t="shared" si="1"/>
        <v>2687</v>
      </c>
      <c r="AH8" s="57">
        <f t="shared" si="1"/>
        <v>2877</v>
      </c>
    </row>
    <row r="9" s="59" customFormat="1" ht="12.75"/>
    <row r="10" spans="1:3" s="59" customFormat="1" ht="12.75">
      <c r="A10" s="59" t="s">
        <v>67</v>
      </c>
      <c r="B10" s="45"/>
      <c r="C10" s="59" t="s">
        <v>78</v>
      </c>
    </row>
    <row r="11" spans="1:34" ht="13.5" thickBot="1">
      <c r="A11" s="46" t="s">
        <v>0</v>
      </c>
      <c r="B11" s="67" t="s">
        <v>80</v>
      </c>
      <c r="C11" s="67" t="s">
        <v>81</v>
      </c>
      <c r="D11" s="67" t="s">
        <v>82</v>
      </c>
      <c r="E11" s="67" t="s">
        <v>83</v>
      </c>
      <c r="F11" s="67" t="s">
        <v>84</v>
      </c>
      <c r="G11" s="67" t="s">
        <v>85</v>
      </c>
      <c r="H11" s="67" t="s">
        <v>86</v>
      </c>
      <c r="I11" s="67" t="s">
        <v>87</v>
      </c>
      <c r="J11" s="67" t="s">
        <v>88</v>
      </c>
      <c r="K11" s="67" t="s">
        <v>89</v>
      </c>
      <c r="L11" s="67" t="s">
        <v>90</v>
      </c>
      <c r="M11" s="67" t="s">
        <v>91</v>
      </c>
      <c r="N11" s="67" t="s">
        <v>92</v>
      </c>
      <c r="O11" s="67" t="s">
        <v>93</v>
      </c>
      <c r="P11" s="67" t="s">
        <v>94</v>
      </c>
      <c r="Q11" s="67" t="s">
        <v>95</v>
      </c>
      <c r="R11" s="67" t="s">
        <v>96</v>
      </c>
      <c r="S11" s="67" t="s">
        <v>97</v>
      </c>
      <c r="T11" s="67" t="s">
        <v>98</v>
      </c>
      <c r="U11" s="67" t="s">
        <v>99</v>
      </c>
      <c r="V11" s="67" t="s">
        <v>100</v>
      </c>
      <c r="W11" s="67" t="s">
        <v>101</v>
      </c>
      <c r="X11" s="67" t="s">
        <v>102</v>
      </c>
      <c r="Y11" s="67" t="s">
        <v>103</v>
      </c>
      <c r="Z11" s="67" t="s">
        <v>104</v>
      </c>
      <c r="AA11" s="67" t="s">
        <v>105</v>
      </c>
      <c r="AB11" s="67" t="s">
        <v>106</v>
      </c>
      <c r="AC11" s="67" t="s">
        <v>107</v>
      </c>
      <c r="AD11" s="67" t="s">
        <v>108</v>
      </c>
      <c r="AE11" s="67" t="s">
        <v>109</v>
      </c>
      <c r="AF11" s="67" t="s">
        <v>110</v>
      </c>
      <c r="AG11" s="67" t="s">
        <v>114</v>
      </c>
      <c r="AH11" s="67" t="s">
        <v>115</v>
      </c>
    </row>
    <row r="12" spans="1:34" ht="13.5" thickTop="1">
      <c r="A12" s="47" t="s">
        <v>29</v>
      </c>
      <c r="B12" s="60">
        <f aca="true" t="shared" si="2" ref="B12:AB15">B3/B$8</f>
        <v>0.14281045751633986</v>
      </c>
      <c r="C12" s="60">
        <f t="shared" si="2"/>
        <v>0.14063066328379847</v>
      </c>
      <c r="D12" s="60">
        <f t="shared" si="2"/>
        <v>0.13284518828451883</v>
      </c>
      <c r="E12" s="60">
        <f t="shared" si="2"/>
        <v>0.11359782977280435</v>
      </c>
      <c r="F12" s="60">
        <f t="shared" si="2"/>
        <v>0.09492803289924606</v>
      </c>
      <c r="G12" s="60">
        <f t="shared" si="2"/>
        <v>0.11930724823604875</v>
      </c>
      <c r="H12" s="60">
        <f t="shared" si="2"/>
        <v>0.14448804851944344</v>
      </c>
      <c r="I12" s="60">
        <f t="shared" si="2"/>
        <v>0.15332834704562454</v>
      </c>
      <c r="J12" s="60">
        <f t="shared" si="2"/>
        <v>0.19056068133427964</v>
      </c>
      <c r="K12" s="60">
        <f t="shared" si="2"/>
        <v>0.19474230370114148</v>
      </c>
      <c r="L12" s="60">
        <f t="shared" si="2"/>
        <v>0.19223590892123926</v>
      </c>
      <c r="M12" s="60">
        <f t="shared" si="2"/>
        <v>0.17547770700636942</v>
      </c>
      <c r="N12" s="60">
        <f t="shared" si="2"/>
        <v>0.17305734645402104</v>
      </c>
      <c r="O12" s="60">
        <f t="shared" si="2"/>
        <v>0.19426048565121412</v>
      </c>
      <c r="P12" s="60">
        <f t="shared" si="2"/>
        <v>0.16096</v>
      </c>
      <c r="Q12" s="60">
        <f t="shared" si="2"/>
        <v>0.13415468856947296</v>
      </c>
      <c r="R12" s="60">
        <f t="shared" si="2"/>
        <v>0.13344827586206898</v>
      </c>
      <c r="S12" s="60">
        <f t="shared" si="2"/>
        <v>0.14996746909564085</v>
      </c>
      <c r="T12" s="60">
        <f t="shared" si="2"/>
        <v>0.16408794788273615</v>
      </c>
      <c r="U12" s="60">
        <f t="shared" si="2"/>
        <v>0.16805807622504537</v>
      </c>
      <c r="V12" s="60">
        <f t="shared" si="2"/>
        <v>0.1868720696584059</v>
      </c>
      <c r="W12" s="60">
        <f t="shared" si="2"/>
        <v>0.19377606673083092</v>
      </c>
      <c r="X12" s="60">
        <f t="shared" si="2"/>
        <v>0.1646063760572544</v>
      </c>
      <c r="Y12" s="60">
        <f t="shared" si="2"/>
        <v>0.17680973734785393</v>
      </c>
      <c r="Z12" s="60">
        <f t="shared" si="2"/>
        <v>0.16862514688601646</v>
      </c>
      <c r="AA12" s="60">
        <f t="shared" si="2"/>
        <v>0.14968045745038683</v>
      </c>
      <c r="AB12" s="60">
        <f t="shared" si="2"/>
        <v>0.15610113594723343</v>
      </c>
      <c r="AC12" s="60">
        <f aca="true" t="shared" si="3" ref="AC12:AD15">AC3/AC$8</f>
        <v>0.11759556463379049</v>
      </c>
      <c r="AD12" s="60">
        <f t="shared" si="3"/>
        <v>0.11874559548978153</v>
      </c>
      <c r="AE12" s="60">
        <f aca="true" t="shared" si="4" ref="AE12:AF15">AE3/AE$8</f>
        <v>0.16222062004325882</v>
      </c>
      <c r="AF12" s="60">
        <f t="shared" si="4"/>
        <v>0.15476681799422204</v>
      </c>
      <c r="AG12" s="60">
        <f aca="true" t="shared" si="5" ref="AG12:AH15">AG3/AG$8</f>
        <v>0.18161518422032005</v>
      </c>
      <c r="AH12" s="60">
        <f t="shared" si="5"/>
        <v>0.18421967327076816</v>
      </c>
    </row>
    <row r="13" spans="1:34" ht="12.75">
      <c r="A13" s="49" t="s">
        <v>28</v>
      </c>
      <c r="B13" s="61">
        <f t="shared" si="2"/>
        <v>0.08954248366013072</v>
      </c>
      <c r="C13" s="61">
        <f t="shared" si="2"/>
        <v>0.08481333816600217</v>
      </c>
      <c r="D13" s="61">
        <f t="shared" si="2"/>
        <v>0.07810320781032078</v>
      </c>
      <c r="E13" s="61">
        <f t="shared" si="2"/>
        <v>0.0671414038657172</v>
      </c>
      <c r="F13" s="61">
        <f t="shared" si="2"/>
        <v>0.05962988348183688</v>
      </c>
      <c r="G13" s="61">
        <f t="shared" si="2"/>
        <v>0.07472738935214882</v>
      </c>
      <c r="H13" s="61">
        <f t="shared" si="2"/>
        <v>0.07813057438458794</v>
      </c>
      <c r="I13" s="61">
        <f t="shared" si="2"/>
        <v>0.08900523560209424</v>
      </c>
      <c r="J13" s="61">
        <f t="shared" si="2"/>
        <v>0.09013484740951029</v>
      </c>
      <c r="K13" s="61">
        <f t="shared" si="2"/>
        <v>0.10826703562781044</v>
      </c>
      <c r="L13" s="61">
        <f t="shared" si="2"/>
        <v>0.10787607316162748</v>
      </c>
      <c r="M13" s="61">
        <f t="shared" si="2"/>
        <v>0.09968152866242039</v>
      </c>
      <c r="N13" s="61">
        <f t="shared" si="2"/>
        <v>0.06345436036647438</v>
      </c>
      <c r="O13" s="61">
        <f t="shared" si="2"/>
        <v>0.0728476821192053</v>
      </c>
      <c r="P13" s="61">
        <f t="shared" si="2"/>
        <v>0.07072</v>
      </c>
      <c r="Q13" s="61">
        <f t="shared" si="2"/>
        <v>0.07084188911704312</v>
      </c>
      <c r="R13" s="61">
        <f t="shared" si="2"/>
        <v>0.07103448275862069</v>
      </c>
      <c r="S13" s="61">
        <f t="shared" si="2"/>
        <v>0.09661678594664931</v>
      </c>
      <c r="T13" s="61">
        <f t="shared" si="2"/>
        <v>0.08794788273615635</v>
      </c>
      <c r="U13" s="61">
        <f t="shared" si="2"/>
        <v>0.10018148820326679</v>
      </c>
      <c r="V13" s="61">
        <f t="shared" si="2"/>
        <v>0.10515740120562625</v>
      </c>
      <c r="W13" s="61">
        <f t="shared" si="2"/>
        <v>0.1126082771896054</v>
      </c>
      <c r="X13" s="61">
        <f t="shared" si="2"/>
        <v>0.12979830839297332</v>
      </c>
      <c r="Y13" s="61">
        <f t="shared" si="2"/>
        <v>0.09224855861627163</v>
      </c>
      <c r="Z13" s="61">
        <f t="shared" si="2"/>
        <v>0.07373678025851939</v>
      </c>
      <c r="AA13" s="61">
        <f t="shared" si="2"/>
        <v>0.07669021190716448</v>
      </c>
      <c r="AB13" s="61">
        <f t="shared" si="2"/>
        <v>0.07401978746793697</v>
      </c>
      <c r="AC13" s="61">
        <f t="shared" si="3"/>
        <v>0.07032389845345784</v>
      </c>
      <c r="AD13" s="61">
        <f t="shared" si="3"/>
        <v>0.060958421423537704</v>
      </c>
      <c r="AE13" s="61">
        <f t="shared" si="4"/>
        <v>0.07894736842105263</v>
      </c>
      <c r="AF13" s="61">
        <f t="shared" si="4"/>
        <v>0.0780024762690879</v>
      </c>
      <c r="AG13" s="61">
        <f t="shared" si="5"/>
        <v>0.10494975809452921</v>
      </c>
      <c r="AH13" s="61">
        <f t="shared" si="5"/>
        <v>0.10427528675703858</v>
      </c>
    </row>
    <row r="14" spans="1:34" ht="12.75">
      <c r="A14" s="51" t="s">
        <v>46</v>
      </c>
      <c r="B14" s="62">
        <f t="shared" si="2"/>
        <v>0.5055555555555555</v>
      </c>
      <c r="C14" s="62">
        <f t="shared" si="2"/>
        <v>0.5212033345415006</v>
      </c>
      <c r="D14" s="62">
        <f t="shared" si="2"/>
        <v>0.5868200836820083</v>
      </c>
      <c r="E14" s="62">
        <f t="shared" si="2"/>
        <v>0.6025771447948457</v>
      </c>
      <c r="F14" s="62">
        <f t="shared" si="2"/>
        <v>0.67854694996573</v>
      </c>
      <c r="G14" s="62">
        <f t="shared" si="2"/>
        <v>0.6013470173187941</v>
      </c>
      <c r="H14" s="62">
        <f t="shared" si="2"/>
        <v>0.5576168391009633</v>
      </c>
      <c r="I14" s="62">
        <f t="shared" si="2"/>
        <v>0.5160807778608826</v>
      </c>
      <c r="J14" s="62">
        <f t="shared" si="2"/>
        <v>0.45848119233498935</v>
      </c>
      <c r="K14" s="62">
        <f t="shared" si="2"/>
        <v>0.42476651677620203</v>
      </c>
      <c r="L14" s="62">
        <f t="shared" si="2"/>
        <v>0.4412094064949608</v>
      </c>
      <c r="M14" s="62">
        <f t="shared" si="2"/>
        <v>0.46878980891719746</v>
      </c>
      <c r="N14" s="62">
        <f t="shared" si="2"/>
        <v>0.5537835086528673</v>
      </c>
      <c r="O14" s="62">
        <f t="shared" si="2"/>
        <v>0.5147167034584254</v>
      </c>
      <c r="P14" s="62">
        <f t="shared" si="2"/>
        <v>0.59616</v>
      </c>
      <c r="Q14" s="62">
        <f t="shared" si="2"/>
        <v>0.6252566735112937</v>
      </c>
      <c r="R14" s="62">
        <f t="shared" si="2"/>
        <v>0.6168965517241379</v>
      </c>
      <c r="S14" s="62">
        <f t="shared" si="2"/>
        <v>0.5452179570592063</v>
      </c>
      <c r="T14" s="62">
        <f t="shared" si="2"/>
        <v>0.5191368078175895</v>
      </c>
      <c r="U14" s="62">
        <f t="shared" si="2"/>
        <v>0.5099818511796733</v>
      </c>
      <c r="V14" s="62">
        <f t="shared" si="2"/>
        <v>0.46651038178164767</v>
      </c>
      <c r="W14" s="62">
        <f t="shared" si="2"/>
        <v>0.41803015720243825</v>
      </c>
      <c r="X14" s="62">
        <f t="shared" si="2"/>
        <v>0.43331164606376055</v>
      </c>
      <c r="Y14" s="62">
        <f t="shared" si="2"/>
        <v>0.4791800128122998</v>
      </c>
      <c r="Z14" s="62">
        <f t="shared" si="2"/>
        <v>0.5390716803760282</v>
      </c>
      <c r="AA14" s="62">
        <f t="shared" si="2"/>
        <v>0.5553313151698621</v>
      </c>
      <c r="AB14" s="62">
        <f t="shared" si="2"/>
        <v>0.5793330890436057</v>
      </c>
      <c r="AC14" s="62">
        <f t="shared" si="3"/>
        <v>0.6515903122264372</v>
      </c>
      <c r="AD14" s="62">
        <f t="shared" si="3"/>
        <v>0.6585623678646935</v>
      </c>
      <c r="AE14" s="62">
        <f t="shared" si="4"/>
        <v>0.5656092285508292</v>
      </c>
      <c r="AF14" s="62">
        <f t="shared" si="4"/>
        <v>0.5484936029715229</v>
      </c>
      <c r="AG14" s="62">
        <f t="shared" si="5"/>
        <v>0.5176777074804615</v>
      </c>
      <c r="AH14" s="62">
        <f t="shared" si="5"/>
        <v>0.48175182481751827</v>
      </c>
    </row>
    <row r="15" spans="1:34" ht="12.75">
      <c r="A15" s="53" t="s">
        <v>47</v>
      </c>
      <c r="B15" s="63">
        <f t="shared" si="2"/>
        <v>0.26209150326797387</v>
      </c>
      <c r="C15" s="63">
        <f t="shared" si="2"/>
        <v>0.2533526640086988</v>
      </c>
      <c r="D15" s="63">
        <f t="shared" si="2"/>
        <v>0.20223152022315202</v>
      </c>
      <c r="E15" s="63">
        <f t="shared" si="2"/>
        <v>0.21668362156663276</v>
      </c>
      <c r="F15" s="63">
        <f t="shared" si="2"/>
        <v>0.16689513365318712</v>
      </c>
      <c r="G15" s="63">
        <f t="shared" si="2"/>
        <v>0.20461834509300833</v>
      </c>
      <c r="H15" s="63">
        <f t="shared" si="2"/>
        <v>0.21976453799500534</v>
      </c>
      <c r="I15" s="63">
        <f t="shared" si="2"/>
        <v>0.24158563949139866</v>
      </c>
      <c r="J15" s="63">
        <f t="shared" si="2"/>
        <v>0.2608232789212207</v>
      </c>
      <c r="K15" s="63">
        <f t="shared" si="2"/>
        <v>0.27222414389484606</v>
      </c>
      <c r="L15" s="63">
        <f t="shared" si="2"/>
        <v>0.25867861142217247</v>
      </c>
      <c r="M15" s="63">
        <f t="shared" si="2"/>
        <v>0.25605095541401274</v>
      </c>
      <c r="N15" s="63">
        <f t="shared" si="2"/>
        <v>0.20970478452663727</v>
      </c>
      <c r="O15" s="63">
        <f t="shared" si="2"/>
        <v>0.21817512877115527</v>
      </c>
      <c r="P15" s="63">
        <f t="shared" si="2"/>
        <v>0.17216</v>
      </c>
      <c r="Q15" s="63">
        <f t="shared" si="2"/>
        <v>0.1697467488021903</v>
      </c>
      <c r="R15" s="63">
        <f t="shared" si="2"/>
        <v>0.17862068965517242</v>
      </c>
      <c r="S15" s="63">
        <f t="shared" si="2"/>
        <v>0.20819778789850357</v>
      </c>
      <c r="T15" s="63">
        <f t="shared" si="2"/>
        <v>0.2288273615635179</v>
      </c>
      <c r="U15" s="63">
        <f t="shared" si="2"/>
        <v>0.22177858439201453</v>
      </c>
      <c r="V15" s="63">
        <f t="shared" si="2"/>
        <v>0.24146014735432017</v>
      </c>
      <c r="W15" s="63">
        <f t="shared" si="2"/>
        <v>0.27558549887712547</v>
      </c>
      <c r="X15" s="63">
        <f t="shared" si="2"/>
        <v>0.27228366948601174</v>
      </c>
      <c r="Y15" s="63">
        <f t="shared" si="2"/>
        <v>0.2517616912235746</v>
      </c>
      <c r="Z15" s="63">
        <f t="shared" si="2"/>
        <v>0.21856639247943596</v>
      </c>
      <c r="AA15" s="63">
        <f t="shared" si="2"/>
        <v>0.21829801547258662</v>
      </c>
      <c r="AB15" s="63">
        <f t="shared" si="2"/>
        <v>0.1905459875412239</v>
      </c>
      <c r="AC15" s="63">
        <f t="shared" si="3"/>
        <v>0.16049022468631455</v>
      </c>
      <c r="AD15" s="63">
        <f t="shared" si="3"/>
        <v>0.16173361522198731</v>
      </c>
      <c r="AE15" s="63">
        <f t="shared" si="4"/>
        <v>0.1932227829848594</v>
      </c>
      <c r="AF15" s="63">
        <f t="shared" si="4"/>
        <v>0.21873710276516714</v>
      </c>
      <c r="AG15" s="63">
        <f t="shared" si="5"/>
        <v>0.19575735020468923</v>
      </c>
      <c r="AH15" s="63">
        <f t="shared" si="5"/>
        <v>0.229753215154675</v>
      </c>
    </row>
    <row r="16" spans="1:34" ht="13.5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s="58" customFormat="1" ht="13.5" thickTop="1">
      <c r="A17" s="56" t="s">
        <v>77</v>
      </c>
      <c r="B17" s="64">
        <f aca="true" t="shared" si="6" ref="B17:AB17">SUM(B12:B15)</f>
        <v>1</v>
      </c>
      <c r="C17" s="64">
        <f t="shared" si="6"/>
        <v>1</v>
      </c>
      <c r="D17" s="64">
        <f t="shared" si="6"/>
        <v>1</v>
      </c>
      <c r="E17" s="64">
        <f t="shared" si="6"/>
        <v>1</v>
      </c>
      <c r="F17" s="64">
        <f t="shared" si="6"/>
        <v>1</v>
      </c>
      <c r="G17" s="64">
        <f t="shared" si="6"/>
        <v>1</v>
      </c>
      <c r="H17" s="64">
        <f t="shared" si="6"/>
        <v>1</v>
      </c>
      <c r="I17" s="64">
        <f t="shared" si="6"/>
        <v>1</v>
      </c>
      <c r="J17" s="64">
        <f t="shared" si="6"/>
        <v>1</v>
      </c>
      <c r="K17" s="64">
        <f t="shared" si="6"/>
        <v>1</v>
      </c>
      <c r="L17" s="64">
        <f t="shared" si="6"/>
        <v>1</v>
      </c>
      <c r="M17" s="64">
        <f t="shared" si="6"/>
        <v>1</v>
      </c>
      <c r="N17" s="64">
        <f t="shared" si="6"/>
        <v>1</v>
      </c>
      <c r="O17" s="64">
        <f t="shared" si="6"/>
        <v>1</v>
      </c>
      <c r="P17" s="64">
        <f t="shared" si="6"/>
        <v>1</v>
      </c>
      <c r="Q17" s="64">
        <f t="shared" si="6"/>
        <v>1</v>
      </c>
      <c r="R17" s="64">
        <f t="shared" si="6"/>
        <v>1</v>
      </c>
      <c r="S17" s="64">
        <f t="shared" si="6"/>
        <v>1</v>
      </c>
      <c r="T17" s="64">
        <f t="shared" si="6"/>
        <v>1</v>
      </c>
      <c r="U17" s="64">
        <f t="shared" si="6"/>
        <v>1</v>
      </c>
      <c r="V17" s="64">
        <f t="shared" si="6"/>
        <v>1</v>
      </c>
      <c r="W17" s="64">
        <f t="shared" si="6"/>
        <v>1</v>
      </c>
      <c r="X17" s="64">
        <f t="shared" si="6"/>
        <v>1</v>
      </c>
      <c r="Y17" s="64">
        <f t="shared" si="6"/>
        <v>1</v>
      </c>
      <c r="Z17" s="64">
        <f t="shared" si="6"/>
        <v>1</v>
      </c>
      <c r="AA17" s="64">
        <f t="shared" si="6"/>
        <v>1</v>
      </c>
      <c r="AB17" s="64">
        <f t="shared" si="6"/>
        <v>1</v>
      </c>
      <c r="AC17" s="64">
        <f aca="true" t="shared" si="7" ref="AC17:AH17">SUM(AC12:AC15)</f>
        <v>1</v>
      </c>
      <c r="AD17" s="64">
        <f t="shared" si="7"/>
        <v>1</v>
      </c>
      <c r="AE17" s="64">
        <f t="shared" si="7"/>
        <v>1</v>
      </c>
      <c r="AF17" s="64">
        <f t="shared" si="7"/>
        <v>1</v>
      </c>
      <c r="AG17" s="64">
        <f t="shared" si="7"/>
        <v>1</v>
      </c>
      <c r="AH17" s="64">
        <f t="shared" si="7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François PESTY</cp:lastModifiedBy>
  <cp:lastPrinted>2007-07-06T15:45:33Z</cp:lastPrinted>
  <dcterms:created xsi:type="dcterms:W3CDTF">2007-01-13T19:08:34Z</dcterms:created>
  <dcterms:modified xsi:type="dcterms:W3CDTF">2011-04-03T19:53:13Z</dcterms:modified>
  <cp:category/>
  <cp:version/>
  <cp:contentType/>
  <cp:contentStatus/>
</cp:coreProperties>
</file>