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F"/>
  <workbookPr/>
  <bookViews>
    <workbookView xWindow="600" yWindow="45" windowWidth="10380" windowHeight="7050" activeTab="0"/>
  </bookViews>
  <sheets>
    <sheet name="Total sélection ATB" sheetId="1" r:id="rId1"/>
    <sheet name="Graphique par ATB (%)" sheetId="2" r:id="rId2"/>
    <sheet name="Graphique par ATB" sheetId="3" r:id="rId3"/>
    <sheet name="Graphique par classes (%)" sheetId="4" r:id="rId4"/>
    <sheet name="Graphique inf cutanées (%)" sheetId="5" r:id="rId5"/>
    <sheet name="Graphique inf cutanées" sheetId="6" r:id="rId6"/>
    <sheet name="tableau entrée" sheetId="7" r:id="rId7"/>
    <sheet name="Tableau sortie" sheetId="8" r:id="rId8"/>
    <sheet name="Chiffres Inf respi" sheetId="9" r:id="rId9"/>
    <sheet name="Chiffres Inf Cutanées" sheetId="10" r:id="rId10"/>
  </sheets>
  <definedNames>
    <definedName name="_xlnm.Print_Area" localSheetId="8">'Chiffres Inf respi'!#REF!</definedName>
  </definedNames>
  <calcPr fullCalcOnLoad="1"/>
</workbook>
</file>

<file path=xl/sharedStrings.xml><?xml version="1.0" encoding="utf-8"?>
<sst xmlns="http://schemas.openxmlformats.org/spreadsheetml/2006/main" count="300" uniqueCount="66">
  <si>
    <t>CLAMOXYL + Gé</t>
  </si>
  <si>
    <t>AUGMENTIN + Gé</t>
  </si>
  <si>
    <t>ORACEFAL + Gé</t>
  </si>
  <si>
    <t>CEFAPEROS + Gé</t>
  </si>
  <si>
    <t>ZINNAT + Gé</t>
  </si>
  <si>
    <t>ALFATIL + Gé</t>
  </si>
  <si>
    <t>TEXODIL / TAKETIAM</t>
  </si>
  <si>
    <t>ROCEPHINE + Gé</t>
  </si>
  <si>
    <t>OROKEN</t>
  </si>
  <si>
    <t>ORELOX</t>
  </si>
  <si>
    <t>RULID / CLARAMID + Gé</t>
  </si>
  <si>
    <t>JOSACINE + Gé</t>
  </si>
  <si>
    <t>NAXY / ZECLAR / MONONAXY / MONOZECLAR</t>
  </si>
  <si>
    <t>ZITHROMAX</t>
  </si>
  <si>
    <t>KETEK</t>
  </si>
  <si>
    <t>PYOSTACINE</t>
  </si>
  <si>
    <t>OFLOCET + Gé</t>
  </si>
  <si>
    <t>TAVANIC</t>
  </si>
  <si>
    <t>IZILOX</t>
  </si>
  <si>
    <t>C1G</t>
  </si>
  <si>
    <t>C2-C3G</t>
  </si>
  <si>
    <t>Bêta-lactamines</t>
  </si>
  <si>
    <t>Macrolides et apparentés</t>
  </si>
  <si>
    <t>Fluoroquinolones</t>
  </si>
  <si>
    <t>ATB 1ère intention</t>
  </si>
  <si>
    <t>ATB 2ème intention</t>
  </si>
  <si>
    <t>Total sélection des 19 Antibiotiques</t>
  </si>
  <si>
    <t>déc-04</t>
  </si>
  <si>
    <t>jan-05</t>
  </si>
  <si>
    <t>fév-05</t>
  </si>
  <si>
    <t>avr-05</t>
  </si>
  <si>
    <t>mai-05</t>
  </si>
  <si>
    <t>oct-05</t>
  </si>
  <si>
    <t>mar-05</t>
  </si>
  <si>
    <t>jun-05</t>
  </si>
  <si>
    <t>jui-05</t>
  </si>
  <si>
    <t>sep-05</t>
  </si>
  <si>
    <t>Médicament / Nom de Marque</t>
  </si>
  <si>
    <t>ORBENINE</t>
  </si>
  <si>
    <t>BRISTOPEN</t>
  </si>
  <si>
    <t>FUCIDINE</t>
  </si>
  <si>
    <t>oct-04</t>
  </si>
  <si>
    <t>nov-04</t>
  </si>
  <si>
    <t>aoû-05</t>
  </si>
  <si>
    <t>sept-5</t>
  </si>
  <si>
    <t>oct-5</t>
  </si>
  <si>
    <t>nov-5</t>
  </si>
  <si>
    <t>déc-5</t>
  </si>
  <si>
    <t>janv-6</t>
  </si>
  <si>
    <t>fév-6</t>
  </si>
  <si>
    <t>mars-6</t>
  </si>
  <si>
    <t>avr-6</t>
  </si>
  <si>
    <t>mai-6</t>
  </si>
  <si>
    <t>juin-6</t>
  </si>
  <si>
    <t>Ordre</t>
  </si>
  <si>
    <t>%</t>
  </si>
  <si>
    <t>Antibiotiques</t>
  </si>
  <si>
    <t>Total Panier - 22 ATB</t>
  </si>
  <si>
    <t>ATB de 1ère intention</t>
  </si>
  <si>
    <t>ATB de 2ème intention</t>
  </si>
  <si>
    <t>juil-6</t>
  </si>
  <si>
    <t>août-6</t>
  </si>
  <si>
    <t>sept-6</t>
  </si>
  <si>
    <t>CPAM</t>
  </si>
  <si>
    <t>TOTAL</t>
  </si>
  <si>
    <t>Carcassonne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</si>
</sst>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,000&quot; €&quot;;\-#\ ##,000&quot; €&quot;"/>
    <numFmt numFmtId="169" formatCode="#,##0\ &quot;€&quot;"/>
    <numFmt numFmtId="170" formatCode="[$-40C]dddd\ d\ mmmm\ yyyy"/>
    <numFmt numFmtId="171" formatCode="#,##0.00\ &quot;€&quot;"/>
    <numFmt numFmtId="172" formatCode="0.0%"/>
  </numFmts>
  <fonts count="1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.75"/>
      <name val="Arial"/>
      <family val="2"/>
    </font>
    <font>
      <b/>
      <sz val="14"/>
      <color indexed="1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21" applyFont="1" applyFill="1" applyBorder="1" applyAlignment="1">
      <alignment wrapText="1"/>
      <protection/>
    </xf>
    <xf numFmtId="0" fontId="3" fillId="2" borderId="1" xfId="19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0" fontId="1" fillId="3" borderId="1" xfId="1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" fillId="4" borderId="2" xfId="19" applyFont="1" applyFill="1" applyBorder="1" applyAlignment="1">
      <alignment wrapText="1"/>
      <protection/>
    </xf>
    <xf numFmtId="0" fontId="1" fillId="0" borderId="3" xfId="19" applyFont="1" applyFill="1" applyBorder="1" applyAlignment="1">
      <alignment wrapText="1"/>
      <protection/>
    </xf>
    <xf numFmtId="0" fontId="1" fillId="0" borderId="3" xfId="19" applyFill="1" applyBorder="1">
      <alignment/>
      <protection/>
    </xf>
    <xf numFmtId="10" fontId="1" fillId="3" borderId="1" xfId="19" applyNumberFormat="1" applyFont="1" applyFill="1" applyBorder="1" applyAlignment="1">
      <alignment horizontal="right" wrapText="1"/>
      <protection/>
    </xf>
    <xf numFmtId="10" fontId="1" fillId="5" borderId="1" xfId="19" applyNumberFormat="1" applyFill="1" applyBorder="1">
      <alignment/>
      <protection/>
    </xf>
    <xf numFmtId="10" fontId="1" fillId="5" borderId="1" xfId="19" applyNumberFormat="1" applyFont="1" applyFill="1" applyBorder="1">
      <alignment/>
      <protection/>
    </xf>
    <xf numFmtId="0" fontId="0" fillId="5" borderId="1" xfId="0" applyFill="1" applyBorder="1" applyAlignment="1">
      <alignment/>
    </xf>
    <xf numFmtId="0" fontId="1" fillId="6" borderId="1" xfId="20" applyFont="1" applyFill="1" applyBorder="1" applyAlignment="1">
      <alignment horizontal="center"/>
      <protection/>
    </xf>
    <xf numFmtId="0" fontId="1" fillId="7" borderId="1" xfId="20" applyFont="1" applyFill="1" applyBorder="1" applyAlignment="1">
      <alignment wrapText="1"/>
      <protection/>
    </xf>
    <xf numFmtId="0" fontId="1" fillId="8" borderId="1" xfId="20" applyFont="1" applyFill="1" applyBorder="1" applyAlignment="1">
      <alignment wrapText="1"/>
      <protection/>
    </xf>
    <xf numFmtId="0" fontId="1" fillId="9" borderId="1" xfId="20" applyFont="1" applyFill="1" applyBorder="1" applyAlignment="1">
      <alignment wrapText="1"/>
      <protection/>
    </xf>
    <xf numFmtId="0" fontId="10" fillId="10" borderId="1" xfId="20" applyFont="1" applyFill="1" applyBorder="1" applyAlignment="1">
      <alignment wrapText="1"/>
      <protection/>
    </xf>
    <xf numFmtId="171" fontId="0" fillId="0" borderId="0" xfId="0" applyNumberFormat="1" applyAlignment="1">
      <alignment/>
    </xf>
    <xf numFmtId="0" fontId="1" fillId="0" borderId="4" xfId="22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6" borderId="5" xfId="21" applyFont="1" applyFill="1" applyBorder="1" applyAlignment="1">
      <alignment horizontal="center"/>
      <protection/>
    </xf>
    <xf numFmtId="0" fontId="1" fillId="0" borderId="4" xfId="21" applyFont="1" applyFill="1" applyBorder="1" applyAlignment="1">
      <alignment horizontal="right" wrapText="1"/>
      <protection/>
    </xf>
    <xf numFmtId="0" fontId="1" fillId="0" borderId="4" xfId="23" applyFont="1" applyFill="1" applyBorder="1" applyAlignment="1">
      <alignment wrapText="1"/>
      <protection/>
    </xf>
    <xf numFmtId="3" fontId="1" fillId="3" borderId="1" xfId="19" applyNumberFormat="1" applyFont="1" applyFill="1" applyBorder="1" applyAlignment="1">
      <alignment horizontal="right" wrapText="1"/>
      <protection/>
    </xf>
    <xf numFmtId="0" fontId="11" fillId="0" borderId="1" xfId="23" applyFont="1" applyFill="1" applyBorder="1" applyAlignment="1">
      <alignment wrapText="1"/>
      <protection/>
    </xf>
    <xf numFmtId="0" fontId="11" fillId="0" borderId="2" xfId="23" applyFont="1" applyFill="1" applyBorder="1" applyAlignment="1">
      <alignment wrapText="1"/>
      <protection/>
    </xf>
    <xf numFmtId="0" fontId="3" fillId="6" borderId="1" xfId="21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wrapText="1"/>
      <protection/>
    </xf>
    <xf numFmtId="0" fontId="1" fillId="0" borderId="6" xfId="23" applyFont="1" applyFill="1" applyBorder="1" applyAlignment="1">
      <alignment wrapText="1"/>
      <protection/>
    </xf>
    <xf numFmtId="172" fontId="0" fillId="11" borderId="1" xfId="0" applyNumberFormat="1" applyFill="1" applyBorder="1" applyAlignment="1">
      <alignment/>
    </xf>
    <xf numFmtId="172" fontId="0" fillId="11" borderId="6" xfId="0" applyNumberFormat="1" applyFill="1" applyBorder="1" applyAlignment="1">
      <alignment/>
    </xf>
    <xf numFmtId="0" fontId="1" fillId="0" borderId="4" xfId="22" applyFont="1" applyFill="1" applyBorder="1" applyAlignment="1">
      <alignment wrapText="1"/>
      <protection/>
    </xf>
    <xf numFmtId="3" fontId="1" fillId="4" borderId="2" xfId="19" applyNumberFormat="1" applyFill="1" applyBorder="1">
      <alignment/>
      <protection/>
    </xf>
    <xf numFmtId="172" fontId="0" fillId="11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172" fontId="1" fillId="7" borderId="1" xfId="20" applyNumberFormat="1" applyFont="1" applyFill="1" applyBorder="1" applyAlignment="1">
      <alignment horizontal="right" wrapText="1"/>
      <protection/>
    </xf>
    <xf numFmtId="172" fontId="12" fillId="0" borderId="2" xfId="0" applyNumberFormat="1" applyFont="1" applyBorder="1" applyAlignment="1">
      <alignment/>
    </xf>
    <xf numFmtId="172" fontId="1" fillId="8" borderId="1" xfId="20" applyNumberFormat="1" applyFont="1" applyFill="1" applyBorder="1" applyAlignment="1">
      <alignment horizontal="right" wrapText="1"/>
      <protection/>
    </xf>
    <xf numFmtId="172" fontId="1" fillId="9" borderId="1" xfId="20" applyNumberFormat="1" applyFont="1" applyFill="1" applyBorder="1" applyAlignment="1">
      <alignment horizontal="right" wrapText="1"/>
      <protection/>
    </xf>
    <xf numFmtId="172" fontId="10" fillId="10" borderId="1" xfId="20" applyNumberFormat="1" applyFont="1" applyFill="1" applyBorder="1" applyAlignment="1">
      <alignment horizontal="right" wrapText="1"/>
      <protection/>
    </xf>
    <xf numFmtId="0" fontId="1" fillId="2" borderId="5" xfId="22" applyFont="1" applyFill="1" applyBorder="1" applyAlignment="1">
      <alignment horizontal="center"/>
      <protection/>
    </xf>
    <xf numFmtId="171" fontId="0" fillId="11" borderId="1" xfId="0" applyNumberFormat="1" applyFill="1" applyBorder="1" applyAlignment="1">
      <alignment/>
    </xf>
    <xf numFmtId="171" fontId="0" fillId="11" borderId="6" xfId="0" applyNumberFormat="1" applyFill="1" applyBorder="1" applyAlignment="1">
      <alignment/>
    </xf>
    <xf numFmtId="171" fontId="12" fillId="11" borderId="2" xfId="0" applyNumberFormat="1" applyFont="1" applyFill="1" applyBorder="1" applyAlignment="1">
      <alignment/>
    </xf>
    <xf numFmtId="171" fontId="12" fillId="11" borderId="1" xfId="0" applyNumberFormat="1" applyFont="1" applyFill="1" applyBorder="1" applyAlignment="1">
      <alignment/>
    </xf>
    <xf numFmtId="171" fontId="1" fillId="3" borderId="1" xfId="19" applyNumberFormat="1" applyFont="1" applyFill="1" applyBorder="1" applyAlignment="1">
      <alignment horizontal="right" wrapText="1"/>
      <protection/>
    </xf>
    <xf numFmtId="171" fontId="1" fillId="7" borderId="1" xfId="20" applyNumberFormat="1" applyFont="1" applyFill="1" applyBorder="1" applyAlignment="1">
      <alignment horizontal="right" wrapText="1"/>
      <protection/>
    </xf>
    <xf numFmtId="171" fontId="1" fillId="8" borderId="1" xfId="20" applyNumberFormat="1" applyFont="1" applyFill="1" applyBorder="1" applyAlignment="1">
      <alignment horizontal="right" wrapText="1"/>
      <protection/>
    </xf>
    <xf numFmtId="171" fontId="1" fillId="9" borderId="1" xfId="20" applyNumberFormat="1" applyFont="1" applyFill="1" applyBorder="1" applyAlignment="1">
      <alignment horizontal="right" wrapText="1"/>
      <protection/>
    </xf>
    <xf numFmtId="171" fontId="10" fillId="10" borderId="1" xfId="20" applyNumberFormat="1" applyFont="1" applyFill="1" applyBorder="1" applyAlignment="1">
      <alignment horizontal="right" wrapText="1"/>
      <protection/>
    </xf>
    <xf numFmtId="171" fontId="0" fillId="0" borderId="3" xfId="0" applyNumberFormat="1" applyBorder="1" applyAlignment="1">
      <alignment/>
    </xf>
    <xf numFmtId="171" fontId="12" fillId="0" borderId="2" xfId="0" applyNumberFormat="1" applyFont="1" applyBorder="1" applyAlignment="1">
      <alignment/>
    </xf>
    <xf numFmtId="0" fontId="1" fillId="6" borderId="5" xfId="22" applyFont="1" applyFill="1" applyBorder="1" applyAlignment="1">
      <alignment horizontal="center"/>
      <protection/>
    </xf>
    <xf numFmtId="7" fontId="1" fillId="0" borderId="4" xfId="22" applyNumberFormat="1" applyFont="1" applyFill="1" applyBorder="1" applyAlignment="1">
      <alignment horizontal="righ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hiffres" xfId="19"/>
    <cellStyle name="Normal_Chiffres Inf Cutanées" xfId="20"/>
    <cellStyle name="Normal_Feuil2" xfId="21"/>
    <cellStyle name="Normal_tableau entrée" xfId="22"/>
    <cellStyle name="Normal_Tableau sorti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Montant (cumul annuel glissant) - Infections respiratoires hautes et basses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5375"/>
          <c:w val="0.931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respi'!$A$45</c:f>
              <c:strCache>
                <c:ptCount val="1"/>
                <c:pt idx="0">
                  <c:v>Total sélection des 19 Antibiotiques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respi'!$B$45:$N$45</c:f>
              <c:numCache>
                <c:ptCount val="13"/>
                <c:pt idx="0">
                  <c:v>2234503.949</c:v>
                </c:pt>
                <c:pt idx="1">
                  <c:v>2227527.6950000003</c:v>
                </c:pt>
                <c:pt idx="2">
                  <c:v>2201093.91</c:v>
                </c:pt>
                <c:pt idx="3">
                  <c:v>2167447.759</c:v>
                </c:pt>
                <c:pt idx="4">
                  <c:v>2111810.2250000006</c:v>
                </c:pt>
                <c:pt idx="5">
                  <c:v>1979111.683</c:v>
                </c:pt>
                <c:pt idx="6">
                  <c:v>1875001.5675</c:v>
                </c:pt>
                <c:pt idx="7">
                  <c:v>1800309.753</c:v>
                </c:pt>
                <c:pt idx="8">
                  <c:v>1762553.3485</c:v>
                </c:pt>
                <c:pt idx="9">
                  <c:v>1727509.7195000004</c:v>
                </c:pt>
                <c:pt idx="10">
                  <c:v>1711293.8059999999</c:v>
                </c:pt>
                <c:pt idx="11">
                  <c:v>1704935.0374999999</c:v>
                </c:pt>
                <c:pt idx="12">
                  <c:v>1673055.1434999998</c:v>
                </c:pt>
              </c:numCache>
            </c:numRef>
          </c:val>
          <c:smooth val="0"/>
        </c:ser>
        <c:marker val="1"/>
        <c:axId val="5655240"/>
        <c:axId val="50897161"/>
      </c:lineChart>
      <c:catAx>
        <c:axId val="565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7161"/>
        <c:crossesAt val="0"/>
        <c:auto val="1"/>
        <c:lblOffset val="100"/>
        <c:noMultiLvlLbl val="0"/>
      </c:catAx>
      <c:valAx>
        <c:axId val="50897161"/>
        <c:scaling>
          <c:orientation val="minMax"/>
          <c:max val="2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Montants remboursés (€)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5240"/>
        <c:crossesAt val="1"/>
        <c:crossBetween val="between"/>
        <c:dispUnits/>
        <c:majorUnit val="500000"/>
        <c:minorUnit val="1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822"/>
          <c:w val="0.2855"/>
          <c:h val="0.05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Evolution par ATB (%) - Infections respiratoires hautes et basses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25"/>
          <c:w val="0.6892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respi'!$A$25</c:f>
              <c:strCache>
                <c:ptCount val="1"/>
                <c:pt idx="0">
                  <c:v>CLAMOXYL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respi'!$B$25:$N$25</c:f>
              <c:numCache>
                <c:ptCount val="13"/>
                <c:pt idx="0">
                  <c:v>0.0502063704341209</c:v>
                </c:pt>
                <c:pt idx="1">
                  <c:v>0.05096263842412069</c:v>
                </c:pt>
                <c:pt idx="2">
                  <c:v>0.05333239711703168</c:v>
                </c:pt>
                <c:pt idx="3">
                  <c:v>0.058600380780849996</c:v>
                </c:pt>
                <c:pt idx="4">
                  <c:v>0.06331407098855199</c:v>
                </c:pt>
                <c:pt idx="5">
                  <c:v>0.06707670751494423</c:v>
                </c:pt>
                <c:pt idx="6">
                  <c:v>0.07295825660689748</c:v>
                </c:pt>
                <c:pt idx="7">
                  <c:v>0.07815955880121259</c:v>
                </c:pt>
                <c:pt idx="8">
                  <c:v>0.0818367861731704</c:v>
                </c:pt>
                <c:pt idx="9">
                  <c:v>0.0850808179779969</c:v>
                </c:pt>
                <c:pt idx="10">
                  <c:v>0.08668823201478941</c:v>
                </c:pt>
                <c:pt idx="11">
                  <c:v>0.08816320750872012</c:v>
                </c:pt>
                <c:pt idx="12">
                  <c:v>0.09076769082596592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respi'!$A$26</c:f>
              <c:strCache>
                <c:ptCount val="1"/>
                <c:pt idx="0">
                  <c:v>AUGMENTIN + Gé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respi'!$B$26:$N$26</c:f>
              <c:numCache>
                <c:ptCount val="13"/>
                <c:pt idx="0">
                  <c:v>0.09474038235409715</c:v>
                </c:pt>
                <c:pt idx="1">
                  <c:v>0.09681216264294303</c:v>
                </c:pt>
                <c:pt idx="2">
                  <c:v>0.09964869490734268</c:v>
                </c:pt>
                <c:pt idx="3">
                  <c:v>0.10544118147762933</c:v>
                </c:pt>
                <c:pt idx="4">
                  <c:v>0.11167759072669511</c:v>
                </c:pt>
                <c:pt idx="5">
                  <c:v>0.11686489296521423</c:v>
                </c:pt>
                <c:pt idx="6">
                  <c:v>0.12245083469776888</c:v>
                </c:pt>
                <c:pt idx="7">
                  <c:v>0.1262312724914733</c:v>
                </c:pt>
                <c:pt idx="8">
                  <c:v>0.12802721188101387</c:v>
                </c:pt>
                <c:pt idx="9">
                  <c:v>0.1298139613737785</c:v>
                </c:pt>
                <c:pt idx="10">
                  <c:v>0.13034973346943793</c:v>
                </c:pt>
                <c:pt idx="11">
                  <c:v>0.13125993458856347</c:v>
                </c:pt>
                <c:pt idx="12">
                  <c:v>0.13256974604913854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respi'!$A$27</c:f>
              <c:strCache>
                <c:ptCount val="1"/>
                <c:pt idx="0">
                  <c:v>ORACEFAL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respi'!$B$27:$N$27</c:f>
              <c:numCache>
                <c:ptCount val="13"/>
                <c:pt idx="0">
                  <c:v>0.00515233772809054</c:v>
                </c:pt>
                <c:pt idx="1">
                  <c:v>0.005093145654469628</c:v>
                </c:pt>
                <c:pt idx="2">
                  <c:v>0.00505812562081915</c:v>
                </c:pt>
                <c:pt idx="3">
                  <c:v>0.005433069125242986</c:v>
                </c:pt>
                <c:pt idx="4">
                  <c:v>0.005552959665208552</c:v>
                </c:pt>
                <c:pt idx="5">
                  <c:v>0.005840538004645794</c:v>
                </c:pt>
                <c:pt idx="6">
                  <c:v>0.006072737856524486</c:v>
                </c:pt>
                <c:pt idx="7">
                  <c:v>0.006059782202379704</c:v>
                </c:pt>
                <c:pt idx="8">
                  <c:v>0.006233340686879072</c:v>
                </c:pt>
                <c:pt idx="9">
                  <c:v>0.0063369987887353235</c:v>
                </c:pt>
                <c:pt idx="10">
                  <c:v>0.006364803905566173</c:v>
                </c:pt>
                <c:pt idx="11">
                  <c:v>0.006355183488919296</c:v>
                </c:pt>
                <c:pt idx="12">
                  <c:v>0.006381354817549683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respi'!$A$28</c:f>
              <c:strCache>
                <c:ptCount val="1"/>
                <c:pt idx="0">
                  <c:v>CEFAPEROS + Gé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respi'!$B$28:$N$28</c:f>
              <c:numCache>
                <c:ptCount val="13"/>
                <c:pt idx="0">
                  <c:v>0.004201265790647301</c:v>
                </c:pt>
                <c:pt idx="1">
                  <c:v>0.004175694884009063</c:v>
                </c:pt>
                <c:pt idx="2">
                  <c:v>0.004206554276459744</c:v>
                </c:pt>
                <c:pt idx="3">
                  <c:v>0.004543005919802655</c:v>
                </c:pt>
                <c:pt idx="4">
                  <c:v>0.004709277084781611</c:v>
                </c:pt>
                <c:pt idx="5">
                  <c:v>0.004953176005277515</c:v>
                </c:pt>
                <c:pt idx="6">
                  <c:v>0.005247747079550108</c:v>
                </c:pt>
                <c:pt idx="7">
                  <c:v>0.005403125203199408</c:v>
                </c:pt>
                <c:pt idx="8">
                  <c:v>0.00536749256869373</c:v>
                </c:pt>
                <c:pt idx="9">
                  <c:v>0.005532932400962968</c:v>
                </c:pt>
                <c:pt idx="10">
                  <c:v>0.005598773551570958</c:v>
                </c:pt>
                <c:pt idx="11">
                  <c:v>0.0055952061457942796</c:v>
                </c:pt>
                <c:pt idx="12">
                  <c:v>0.005637433133416622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'Chiffres Inf respi'!$A$29</c:f>
              <c:strCache>
                <c:ptCount val="1"/>
                <c:pt idx="0">
                  <c:v>ZINNAT + Gé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respi'!$B$29:$N$29</c:f>
              <c:numCache>
                <c:ptCount val="13"/>
                <c:pt idx="0">
                  <c:v>0.0621159459405368</c:v>
                </c:pt>
                <c:pt idx="1">
                  <c:v>0.06130770014960464</c:v>
                </c:pt>
                <c:pt idx="2">
                  <c:v>0.0607758425900147</c:v>
                </c:pt>
                <c:pt idx="3">
                  <c:v>0.059608944189551746</c:v>
                </c:pt>
                <c:pt idx="4">
                  <c:v>0.05780613312448564</c:v>
                </c:pt>
                <c:pt idx="5">
                  <c:v>0.054520208953766254</c:v>
                </c:pt>
                <c:pt idx="6">
                  <c:v>0.0505759025185455</c:v>
                </c:pt>
                <c:pt idx="7">
                  <c:v>0.048762911689897395</c:v>
                </c:pt>
                <c:pt idx="8">
                  <c:v>0.047675186723575076</c:v>
                </c:pt>
                <c:pt idx="9">
                  <c:v>0.04635161099016901</c:v>
                </c:pt>
                <c:pt idx="10">
                  <c:v>0.0453610944700632</c:v>
                </c:pt>
                <c:pt idx="11">
                  <c:v>0.04494325549925829</c:v>
                </c:pt>
                <c:pt idx="12">
                  <c:v>0.04319257543945981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'Chiffres Inf respi'!$A$30</c:f>
              <c:strCache>
                <c:ptCount val="1"/>
                <c:pt idx="0">
                  <c:v>ALFATIL + Gé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respi'!$B$30:$N$30</c:f>
              <c:numCache>
                <c:ptCount val="13"/>
                <c:pt idx="0">
                  <c:v>0.028553998093650272</c:v>
                </c:pt>
                <c:pt idx="1">
                  <c:v>0.02817041136720861</c:v>
                </c:pt>
                <c:pt idx="2">
                  <c:v>0.028470776378641652</c:v>
                </c:pt>
                <c:pt idx="3">
                  <c:v>0.029040923011238305</c:v>
                </c:pt>
                <c:pt idx="4">
                  <c:v>0.029552107600009363</c:v>
                </c:pt>
                <c:pt idx="5">
                  <c:v>0.029362795944851184</c:v>
                </c:pt>
                <c:pt idx="6">
                  <c:v>0.029989339462245544</c:v>
                </c:pt>
                <c:pt idx="7">
                  <c:v>0.030262538382193612</c:v>
                </c:pt>
                <c:pt idx="8">
                  <c:v>0.03043978557906328</c:v>
                </c:pt>
                <c:pt idx="9">
                  <c:v>0.03068378221069684</c:v>
                </c:pt>
                <c:pt idx="10">
                  <c:v>0.030665897238688424</c:v>
                </c:pt>
                <c:pt idx="11">
                  <c:v>0.030927962262609084</c:v>
                </c:pt>
                <c:pt idx="12">
                  <c:v>0.03142164961163457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'Chiffres Inf respi'!$A$31</c:f>
              <c:strCache>
                <c:ptCount val="1"/>
                <c:pt idx="0">
                  <c:v>TEXODIL / TAKETIAM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respi'!$B$31:$N$31</c:f>
              <c:numCache>
                <c:ptCount val="13"/>
                <c:pt idx="0">
                  <c:v>0.01096691147534866</c:v>
                </c:pt>
                <c:pt idx="1">
                  <c:v>0.010682117242991224</c:v>
                </c:pt>
                <c:pt idx="2">
                  <c:v>0.010319586954833744</c:v>
                </c:pt>
                <c:pt idx="3">
                  <c:v>0.009959217660664271</c:v>
                </c:pt>
                <c:pt idx="4">
                  <c:v>0.00966623314838813</c:v>
                </c:pt>
                <c:pt idx="5">
                  <c:v>0.00978810148330573</c:v>
                </c:pt>
                <c:pt idx="6">
                  <c:v>0.00944996596649512</c:v>
                </c:pt>
                <c:pt idx="7">
                  <c:v>0.009147749142922074</c:v>
                </c:pt>
                <c:pt idx="8">
                  <c:v>0.00918075416768016</c:v>
                </c:pt>
                <c:pt idx="9">
                  <c:v>0.009119421918251035</c:v>
                </c:pt>
                <c:pt idx="10">
                  <c:v>0.009032329776339996</c:v>
                </c:pt>
                <c:pt idx="11">
                  <c:v>0.008900571380274658</c:v>
                </c:pt>
                <c:pt idx="12">
                  <c:v>0.008908398541377786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'Chiffres Inf respi'!$A$32</c:f>
              <c:strCache>
                <c:ptCount val="1"/>
                <c:pt idx="0">
                  <c:v>ROCEPHINE + Gé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respi'!$B$32:$N$32</c:f>
              <c:numCache>
                <c:ptCount val="13"/>
                <c:pt idx="0">
                  <c:v>0.08025942741352479</c:v>
                </c:pt>
                <c:pt idx="1">
                  <c:v>0.0802704120812289</c:v>
                </c:pt>
                <c:pt idx="2">
                  <c:v>0.08034874054964787</c:v>
                </c:pt>
                <c:pt idx="3">
                  <c:v>0.08008416917051056</c:v>
                </c:pt>
                <c:pt idx="4">
                  <c:v>0.0804002554254135</c:v>
                </c:pt>
                <c:pt idx="5">
                  <c:v>0.07884232776771496</c:v>
                </c:pt>
                <c:pt idx="6">
                  <c:v>0.07496854985962566</c:v>
                </c:pt>
                <c:pt idx="7">
                  <c:v>0.0746302633622404</c:v>
                </c:pt>
                <c:pt idx="8">
                  <c:v>0.07455426305923245</c:v>
                </c:pt>
                <c:pt idx="9">
                  <c:v>0.07466516341067682</c:v>
                </c:pt>
                <c:pt idx="10">
                  <c:v>0.07426329748545821</c:v>
                </c:pt>
                <c:pt idx="11">
                  <c:v>0.07337093070914147</c:v>
                </c:pt>
                <c:pt idx="12">
                  <c:v>0.07340689754138999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'Chiffres Inf respi'!$A$33</c:f>
              <c:strCache>
                <c:ptCount val="1"/>
                <c:pt idx="0">
                  <c:v>OROKEN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respi'!$B$33:$N$33</c:f>
              <c:numCache>
                <c:ptCount val="13"/>
                <c:pt idx="0">
                  <c:v>0.04486273387203578</c:v>
                </c:pt>
                <c:pt idx="1">
                  <c:v>0.04482862063809267</c:v>
                </c:pt>
                <c:pt idx="2">
                  <c:v>0.0446393993248566</c:v>
                </c:pt>
                <c:pt idx="3">
                  <c:v>0.04476245533353129</c:v>
                </c:pt>
                <c:pt idx="4">
                  <c:v>0.043541952497175726</c:v>
                </c:pt>
                <c:pt idx="5">
                  <c:v>0.04240704616162887</c:v>
                </c:pt>
                <c:pt idx="6">
                  <c:v>0.042218755105120735</c:v>
                </c:pt>
                <c:pt idx="7">
                  <c:v>0.0419009978001269</c:v>
                </c:pt>
                <c:pt idx="8">
                  <c:v>0.04204477757400487</c:v>
                </c:pt>
                <c:pt idx="9">
                  <c:v>0.04151651720996293</c:v>
                </c:pt>
                <c:pt idx="10">
                  <c:v>0.04166982942962864</c:v>
                </c:pt>
                <c:pt idx="11">
                  <c:v>0.04196803128928601</c:v>
                </c:pt>
                <c:pt idx="12">
                  <c:v>0.04204409058080757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'Chiffres Inf respi'!$A$34</c:f>
              <c:strCache>
                <c:ptCount val="1"/>
                <c:pt idx="0">
                  <c:v>ORELOX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respi'!$B$34:$N$34</c:f>
              <c:numCache>
                <c:ptCount val="13"/>
                <c:pt idx="0">
                  <c:v>0.1636766773957489</c:v>
                </c:pt>
                <c:pt idx="1">
                  <c:v>0.16501624640855475</c:v>
                </c:pt>
                <c:pt idx="2">
                  <c:v>0.1644593948742514</c:v>
                </c:pt>
                <c:pt idx="3">
                  <c:v>0.16293119247447568</c:v>
                </c:pt>
                <c:pt idx="4">
                  <c:v>0.16034923426890782</c:v>
                </c:pt>
                <c:pt idx="5">
                  <c:v>0.15851916225588772</c:v>
                </c:pt>
                <c:pt idx="6">
                  <c:v>0.15784325604303795</c:v>
                </c:pt>
                <c:pt idx="7">
                  <c:v>0.15580882319421616</c:v>
                </c:pt>
                <c:pt idx="8">
                  <c:v>0.15402675256952653</c:v>
                </c:pt>
                <c:pt idx="9">
                  <c:v>0.15184613668971023</c:v>
                </c:pt>
                <c:pt idx="10">
                  <c:v>0.15259346792727188</c:v>
                </c:pt>
                <c:pt idx="11">
                  <c:v>0.15336833588886814</c:v>
                </c:pt>
                <c:pt idx="12">
                  <c:v>0.15302881916037697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'Chiffres Inf respi'!$A$35</c:f>
              <c:strCache>
                <c:ptCount val="1"/>
                <c:pt idx="0">
                  <c:v>RULID / CLARAMID + Gé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respi'!$B$35:$N$35</c:f>
              <c:numCache>
                <c:ptCount val="13"/>
                <c:pt idx="0">
                  <c:v>0.02455051803535658</c:v>
                </c:pt>
                <c:pt idx="1">
                  <c:v>0.024606657247419762</c:v>
                </c:pt>
                <c:pt idx="2">
                  <c:v>0.024497458402399558</c:v>
                </c:pt>
                <c:pt idx="3">
                  <c:v>0.024567565136872114</c:v>
                </c:pt>
                <c:pt idx="4">
                  <c:v>0.024663582874734868</c:v>
                </c:pt>
                <c:pt idx="5">
                  <c:v>0.02372270696155554</c:v>
                </c:pt>
                <c:pt idx="6">
                  <c:v>0.022966930932979072</c:v>
                </c:pt>
                <c:pt idx="7">
                  <c:v>0.02230821525744409</c:v>
                </c:pt>
                <c:pt idx="8">
                  <c:v>0.021969906064378056</c:v>
                </c:pt>
                <c:pt idx="9">
                  <c:v>0.021437036840938013</c:v>
                </c:pt>
                <c:pt idx="10">
                  <c:v>0.02098012911290816</c:v>
                </c:pt>
                <c:pt idx="11">
                  <c:v>0.020523758518863806</c:v>
                </c:pt>
                <c:pt idx="12">
                  <c:v>0.019672142982177804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'Chiffres Inf respi'!$A$36</c:f>
              <c:strCache>
                <c:ptCount val="1"/>
                <c:pt idx="0">
                  <c:v>JOSACINE + Gé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respi'!$B$36:$N$36</c:f>
              <c:numCache>
                <c:ptCount val="13"/>
                <c:pt idx="0">
                  <c:v>0.01421526935059357</c:v>
                </c:pt>
                <c:pt idx="1">
                  <c:v>0.014541287891821249</c:v>
                </c:pt>
                <c:pt idx="2">
                  <c:v>0.014819886308258423</c:v>
                </c:pt>
                <c:pt idx="3">
                  <c:v>0.015528181180029079</c:v>
                </c:pt>
                <c:pt idx="4">
                  <c:v>0.015574350673484397</c:v>
                </c:pt>
                <c:pt idx="5">
                  <c:v>0.01530154425347809</c:v>
                </c:pt>
                <c:pt idx="6">
                  <c:v>0.015428694568278008</c:v>
                </c:pt>
                <c:pt idx="7">
                  <c:v>0.015420855468753327</c:v>
                </c:pt>
                <c:pt idx="8">
                  <c:v>0.015540891300289626</c:v>
                </c:pt>
                <c:pt idx="9">
                  <c:v>0.01545807163836336</c:v>
                </c:pt>
                <c:pt idx="10">
                  <c:v>0.015369865716676357</c:v>
                </c:pt>
                <c:pt idx="11">
                  <c:v>0.015364334666035628</c:v>
                </c:pt>
                <c:pt idx="12">
                  <c:v>0.0154504784856782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'Chiffres Inf respi'!$A$37</c:f>
              <c:strCache>
                <c:ptCount val="1"/>
                <c:pt idx="0">
                  <c:v>NAXY / ZECLAR / MONONAXY / MONOZECLAR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respi'!$B$37:$N$37</c:f>
              <c:numCache>
                <c:ptCount val="13"/>
                <c:pt idx="0">
                  <c:v>0.08541887835347925</c:v>
                </c:pt>
                <c:pt idx="1">
                  <c:v>0.0876927229405334</c:v>
                </c:pt>
                <c:pt idx="2">
                  <c:v>0.088500311420152</c:v>
                </c:pt>
                <c:pt idx="3">
                  <c:v>0.08816735730145918</c:v>
                </c:pt>
                <c:pt idx="4">
                  <c:v>0.08757405864913831</c:v>
                </c:pt>
                <c:pt idx="5">
                  <c:v>0.08572993098742675</c:v>
                </c:pt>
                <c:pt idx="6">
                  <c:v>0.08504596836823711</c:v>
                </c:pt>
                <c:pt idx="7">
                  <c:v>0.08381978115073846</c:v>
                </c:pt>
                <c:pt idx="8">
                  <c:v>0.0835801753889437</c:v>
                </c:pt>
                <c:pt idx="9">
                  <c:v>0.08330942823387107</c:v>
                </c:pt>
                <c:pt idx="10">
                  <c:v>0.08412453548026225</c:v>
                </c:pt>
                <c:pt idx="11">
                  <c:v>0.08397389803774269</c:v>
                </c:pt>
                <c:pt idx="12">
                  <c:v>0.08265856360878521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'Chiffres Inf respi'!$A$38</c:f>
              <c:strCache>
                <c:ptCount val="1"/>
                <c:pt idx="0">
                  <c:v>ZITHROMAX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respi'!$B$38:$N$38</c:f>
              <c:numCache>
                <c:ptCount val="13"/>
                <c:pt idx="0">
                  <c:v>0.050387846506329895</c:v>
                </c:pt>
                <c:pt idx="1">
                  <c:v>0.0500953293422464</c:v>
                </c:pt>
                <c:pt idx="2">
                  <c:v>0.04903853829662361</c:v>
                </c:pt>
                <c:pt idx="3">
                  <c:v>0.04799184597094596</c:v>
                </c:pt>
                <c:pt idx="4">
                  <c:v>0.04677407814899655</c:v>
                </c:pt>
                <c:pt idx="5">
                  <c:v>0.04551184567990851</c:v>
                </c:pt>
                <c:pt idx="6">
                  <c:v>0.04413048870691144</c:v>
                </c:pt>
                <c:pt idx="7">
                  <c:v>0.04369473856869118</c:v>
                </c:pt>
                <c:pt idx="8">
                  <c:v>0.043130344431670964</c:v>
                </c:pt>
                <c:pt idx="9">
                  <c:v>0.04226679895099715</c:v>
                </c:pt>
                <c:pt idx="10">
                  <c:v>0.041860233905387026</c:v>
                </c:pt>
                <c:pt idx="11">
                  <c:v>0.04100483388652279</c:v>
                </c:pt>
                <c:pt idx="12">
                  <c:v>0.04042199013149265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'Chiffres Inf respi'!$A$39</c:f>
              <c:strCache>
                <c:ptCount val="1"/>
                <c:pt idx="0">
                  <c:v>KETEK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respi'!$B$39:$N$39</c:f>
              <c:numCache>
                <c:ptCount val="13"/>
                <c:pt idx="0">
                  <c:v>0.08973697454852876</c:v>
                </c:pt>
                <c:pt idx="1">
                  <c:v>0.08531112516650437</c:v>
                </c:pt>
                <c:pt idx="2">
                  <c:v>0.08049263922592016</c:v>
                </c:pt>
                <c:pt idx="3">
                  <c:v>0.07284157292577219</c:v>
                </c:pt>
                <c:pt idx="4">
                  <c:v>0.06682687976851706</c:v>
                </c:pt>
                <c:pt idx="5">
                  <c:v>0.06177615192219549</c:v>
                </c:pt>
                <c:pt idx="6">
                  <c:v>0.05645395280449546</c:v>
                </c:pt>
                <c:pt idx="7">
                  <c:v>0.052391354233806676</c:v>
                </c:pt>
                <c:pt idx="8">
                  <c:v>0.05038729186584958</c:v>
                </c:pt>
                <c:pt idx="9">
                  <c:v>0.0507575262878282</c:v>
                </c:pt>
                <c:pt idx="10">
                  <c:v>0.0509671008532827</c:v>
                </c:pt>
                <c:pt idx="11">
                  <c:v>0.0503194867329366</c:v>
                </c:pt>
                <c:pt idx="12">
                  <c:v>0.050439265153844594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'Chiffres Inf respi'!$A$40</c:f>
              <c:strCache>
                <c:ptCount val="1"/>
                <c:pt idx="0">
                  <c:v>PYOSTACINE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respi'!$B$40:$N$40</c:f>
              <c:numCache>
                <c:ptCount val="13"/>
                <c:pt idx="0">
                  <c:v>0.1208499614068035</c:v>
                </c:pt>
                <c:pt idx="1">
                  <c:v>0.12142068047329034</c:v>
                </c:pt>
                <c:pt idx="2">
                  <c:v>0.1226271917675698</c:v>
                </c:pt>
                <c:pt idx="3">
                  <c:v>0.12255872391709166</c:v>
                </c:pt>
                <c:pt idx="4">
                  <c:v>0.12404034529191652</c:v>
                </c:pt>
                <c:pt idx="5">
                  <c:v>0.12962191280238125</c:v>
                </c:pt>
                <c:pt idx="6">
                  <c:v>0.1331600828115041</c:v>
                </c:pt>
                <c:pt idx="7">
                  <c:v>0.13364581878149723</c:v>
                </c:pt>
                <c:pt idx="8">
                  <c:v>0.13404756752530148</c:v>
                </c:pt>
                <c:pt idx="9">
                  <c:v>0.13289568643726518</c:v>
                </c:pt>
                <c:pt idx="10">
                  <c:v>0.13108671854796627</c:v>
                </c:pt>
                <c:pt idx="11">
                  <c:v>0.13036269981635593</c:v>
                </c:pt>
                <c:pt idx="12">
                  <c:v>0.12979837266194688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'Chiffres Inf respi'!$A$41</c:f>
              <c:strCache>
                <c:ptCount val="1"/>
                <c:pt idx="0">
                  <c:v>OFLOCET + Gé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respi'!$B$41:$N$41</c:f>
              <c:numCache>
                <c:ptCount val="13"/>
                <c:pt idx="0">
                  <c:v>0.018293520142711548</c:v>
                </c:pt>
                <c:pt idx="1">
                  <c:v>0.01824009442899429</c:v>
                </c:pt>
                <c:pt idx="2">
                  <c:v>0.01878405792327143</c:v>
                </c:pt>
                <c:pt idx="3">
                  <c:v>0.019195671188492993</c:v>
                </c:pt>
                <c:pt idx="4">
                  <c:v>0.019820861270808548</c:v>
                </c:pt>
                <c:pt idx="5">
                  <c:v>0.02145431855348206</c:v>
                </c:pt>
                <c:pt idx="6">
                  <c:v>0.02256022567298467</c:v>
                </c:pt>
                <c:pt idx="7">
                  <c:v>0.02352079908995527</c:v>
                </c:pt>
                <c:pt idx="8">
                  <c:v>0.02409486954601533</c:v>
                </c:pt>
                <c:pt idx="9">
                  <c:v>0.02448917943700171</c:v>
                </c:pt>
                <c:pt idx="10">
                  <c:v>0.024487833914359415</c:v>
                </c:pt>
                <c:pt idx="11">
                  <c:v>0.024681744508989835</c:v>
                </c:pt>
                <c:pt idx="12">
                  <c:v>0.024219450062615347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'Chiffres Inf respi'!$A$42</c:f>
              <c:strCache>
                <c:ptCount val="1"/>
                <c:pt idx="0">
                  <c:v>TAVANIC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respi'!$B$42:$N$42</c:f>
              <c:numCache>
                <c:ptCount val="13"/>
                <c:pt idx="0">
                  <c:v>0.028065874767447097</c:v>
                </c:pt>
                <c:pt idx="1">
                  <c:v>0.027380012889132672</c:v>
                </c:pt>
                <c:pt idx="2">
                  <c:v>0.02707506696068229</c:v>
                </c:pt>
                <c:pt idx="3">
                  <c:v>0.026517183060742917</c:v>
                </c:pt>
                <c:pt idx="4">
                  <c:v>0.02604074899769935</c:v>
                </c:pt>
                <c:pt idx="5">
                  <c:v>0.026525932038571065</c:v>
                </c:pt>
                <c:pt idx="6">
                  <c:v>0.026714279000196094</c:v>
                </c:pt>
                <c:pt idx="7">
                  <c:v>0.02717223795432052</c:v>
                </c:pt>
                <c:pt idx="8">
                  <c:v>0.026364269223139485</c:v>
                </c:pt>
                <c:pt idx="9">
                  <c:v>0.027229957938306112</c:v>
                </c:pt>
                <c:pt idx="10">
                  <c:v>0.027395285856600598</c:v>
                </c:pt>
                <c:pt idx="11">
                  <c:v>0.028006248302583792</c:v>
                </c:pt>
                <c:pt idx="12">
                  <c:v>0.02885520850138076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'Chiffres Inf respi'!$A$43</c:f>
              <c:strCache>
                <c:ptCount val="1"/>
                <c:pt idx="0">
                  <c:v>IZILOX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'Chiffres Inf respi'!$B$24:$N$24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respi'!$B$43:$N$43</c:f>
              <c:numCache>
                <c:ptCount val="13"/>
                <c:pt idx="0">
                  <c:v>0.023745106390948695</c:v>
                </c:pt>
                <c:pt idx="1">
                  <c:v>0.0233929401268342</c:v>
                </c:pt>
                <c:pt idx="2">
                  <c:v>0.022905337101223455</c:v>
                </c:pt>
                <c:pt idx="3">
                  <c:v>0.022227360175097074</c:v>
                </c:pt>
                <c:pt idx="4">
                  <c:v>0.022115279795086693</c:v>
                </c:pt>
                <c:pt idx="5">
                  <c:v>0.02218069974376479</c:v>
                </c:pt>
                <c:pt idx="6">
                  <c:v>0.021764031938602633</c:v>
                </c:pt>
                <c:pt idx="7">
                  <c:v>0.021659177224931693</c:v>
                </c:pt>
                <c:pt idx="8">
                  <c:v>0.021498333671572268</c:v>
                </c:pt>
                <c:pt idx="9">
                  <c:v>0.02120897126448844</c:v>
                </c:pt>
                <c:pt idx="10">
                  <c:v>0.02114083734374248</c:v>
                </c:pt>
                <c:pt idx="11">
                  <c:v>0.020910376768534213</c:v>
                </c:pt>
                <c:pt idx="12">
                  <c:v>0.02112587271096125</c:v>
                </c:pt>
              </c:numCache>
            </c:numRef>
          </c:val>
          <c:smooth val="0"/>
        </c:ser>
        <c:marker val="1"/>
        <c:axId val="55421266"/>
        <c:axId val="29029347"/>
      </c:lineChart>
      <c:catAx>
        <c:axId val="5542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Montants remboursés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2126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133"/>
          <c:w val="0.247"/>
          <c:h val="0.8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Evolution par ATB (€) - Infections respiratoires hautes et basses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25"/>
          <c:w val="0.686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respi'!$A$3</c:f>
              <c:strCache>
                <c:ptCount val="1"/>
                <c:pt idx="0">
                  <c:v>CLAMOXYL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respi'!$B$3:$N$3</c:f>
              <c:numCache>
                <c:ptCount val="13"/>
                <c:pt idx="0">
                  <c:v>112186.333</c:v>
                </c:pt>
                <c:pt idx="1">
                  <c:v>113520.6885</c:v>
                </c:pt>
                <c:pt idx="2">
                  <c:v>117389.6145</c:v>
                </c:pt>
                <c:pt idx="3">
                  <c:v>127013.264</c:v>
                </c:pt>
                <c:pt idx="4">
                  <c:v>133707.3025</c:v>
                </c:pt>
                <c:pt idx="5">
                  <c:v>132752.2955</c:v>
                </c:pt>
                <c:pt idx="6">
                  <c:v>136796.8455</c:v>
                </c:pt>
                <c:pt idx="7">
                  <c:v>140711.416</c:v>
                </c:pt>
                <c:pt idx="8">
                  <c:v>144241.7015</c:v>
                </c:pt>
                <c:pt idx="9">
                  <c:v>146977.94</c:v>
                </c:pt>
                <c:pt idx="10">
                  <c:v>148349.0345</c:v>
                </c:pt>
                <c:pt idx="11">
                  <c:v>150312.5415</c:v>
                </c:pt>
                <c:pt idx="12">
                  <c:v>151859.352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respi'!$A$4</c:f>
              <c:strCache>
                <c:ptCount val="1"/>
                <c:pt idx="0">
                  <c:v>AUGMENTIN + Gé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respi'!$B$4:$N$4</c:f>
              <c:numCache>
                <c:ptCount val="13"/>
                <c:pt idx="0">
                  <c:v>211697.7585</c:v>
                </c:pt>
                <c:pt idx="1">
                  <c:v>215651.7735</c:v>
                </c:pt>
                <c:pt idx="2">
                  <c:v>219336.1355</c:v>
                </c:pt>
                <c:pt idx="3">
                  <c:v>228538.2525</c:v>
                </c:pt>
                <c:pt idx="4">
                  <c:v>235841.878</c:v>
                </c:pt>
                <c:pt idx="5">
                  <c:v>231288.675</c:v>
                </c:pt>
                <c:pt idx="6">
                  <c:v>229595.507</c:v>
                </c:pt>
                <c:pt idx="7">
                  <c:v>227255.391</c:v>
                </c:pt>
                <c:pt idx="8">
                  <c:v>225654.791</c:v>
                </c:pt>
                <c:pt idx="9">
                  <c:v>224254.88</c:v>
                </c:pt>
                <c:pt idx="10">
                  <c:v>223066.6915</c:v>
                </c:pt>
                <c:pt idx="11">
                  <c:v>223789.6615</c:v>
                </c:pt>
                <c:pt idx="12">
                  <c:v>221796.4955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respi'!$A$5</c:f>
              <c:strCache>
                <c:ptCount val="1"/>
                <c:pt idx="0">
                  <c:v>ORACEFAL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respi'!$B$5:$N$5</c:f>
              <c:numCache>
                <c:ptCount val="13"/>
                <c:pt idx="0">
                  <c:v>11512.919</c:v>
                </c:pt>
                <c:pt idx="1">
                  <c:v>11345.123</c:v>
                </c:pt>
                <c:pt idx="2">
                  <c:v>11133.4095</c:v>
                </c:pt>
                <c:pt idx="3">
                  <c:v>11775.8935</c:v>
                </c:pt>
                <c:pt idx="4">
                  <c:v>11726.797</c:v>
                </c:pt>
                <c:pt idx="5">
                  <c:v>11559.077</c:v>
                </c:pt>
                <c:pt idx="6">
                  <c:v>11386.393</c:v>
                </c:pt>
                <c:pt idx="7">
                  <c:v>10909.485</c:v>
                </c:pt>
                <c:pt idx="8">
                  <c:v>10986.5955</c:v>
                </c:pt>
                <c:pt idx="9">
                  <c:v>10947.227</c:v>
                </c:pt>
                <c:pt idx="10">
                  <c:v>10892.0495</c:v>
                </c:pt>
                <c:pt idx="11">
                  <c:v>10835.175</c:v>
                </c:pt>
                <c:pt idx="12">
                  <c:v>10676.3585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respi'!$A$6</c:f>
              <c:strCache>
                <c:ptCount val="1"/>
                <c:pt idx="0">
                  <c:v>CEFAPEROS + Gé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respi'!$B$6:$N$6</c:f>
              <c:numCache>
                <c:ptCount val="13"/>
                <c:pt idx="0">
                  <c:v>9387.745</c:v>
                </c:pt>
                <c:pt idx="1">
                  <c:v>9301.476</c:v>
                </c:pt>
                <c:pt idx="2">
                  <c:v>9259.021</c:v>
                </c:pt>
                <c:pt idx="3">
                  <c:v>9846.728</c:v>
                </c:pt>
                <c:pt idx="4">
                  <c:v>9945.0995</c:v>
                </c:pt>
                <c:pt idx="5">
                  <c:v>9802.8885</c:v>
                </c:pt>
                <c:pt idx="6">
                  <c:v>9839.534</c:v>
                </c:pt>
                <c:pt idx="7">
                  <c:v>9727.299</c:v>
                </c:pt>
                <c:pt idx="8">
                  <c:v>9460.492</c:v>
                </c:pt>
                <c:pt idx="9">
                  <c:v>9558.1945</c:v>
                </c:pt>
                <c:pt idx="10">
                  <c:v>9581.1465</c:v>
                </c:pt>
                <c:pt idx="11">
                  <c:v>9539.463</c:v>
                </c:pt>
                <c:pt idx="12">
                  <c:v>9431.7365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'Chiffres Inf respi'!$A$7</c:f>
              <c:strCache>
                <c:ptCount val="1"/>
                <c:pt idx="0">
                  <c:v>ZINNAT + Gé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respi'!$B$7:$N$7</c:f>
              <c:numCache>
                <c:ptCount val="13"/>
                <c:pt idx="0">
                  <c:v>138798.3265</c:v>
                </c:pt>
                <c:pt idx="1">
                  <c:v>136564.6</c:v>
                </c:pt>
                <c:pt idx="2">
                  <c:v>133773.337</c:v>
                </c:pt>
                <c:pt idx="3">
                  <c:v>129199.2725</c:v>
                </c:pt>
                <c:pt idx="4">
                  <c:v>122075.583</c:v>
                </c:pt>
                <c:pt idx="5">
                  <c:v>107901.5825</c:v>
                </c:pt>
                <c:pt idx="6">
                  <c:v>94829.8965</c:v>
                </c:pt>
                <c:pt idx="7">
                  <c:v>87788.3455</c:v>
                </c:pt>
                <c:pt idx="8">
                  <c:v>84030.06</c:v>
                </c:pt>
                <c:pt idx="9">
                  <c:v>80072.8585</c:v>
                </c:pt>
                <c:pt idx="10">
                  <c:v>77626.16</c:v>
                </c:pt>
                <c:pt idx="11">
                  <c:v>76625.331</c:v>
                </c:pt>
                <c:pt idx="12">
                  <c:v>72263.5605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'Chiffres Inf respi'!$A$8</c:f>
              <c:strCache>
                <c:ptCount val="1"/>
                <c:pt idx="0">
                  <c:v>ALFATIL + Gé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respi'!$B$8:$N$8</c:f>
              <c:numCache>
                <c:ptCount val="13"/>
                <c:pt idx="0">
                  <c:v>63804.0215</c:v>
                </c:pt>
                <c:pt idx="1">
                  <c:v>62750.3715</c:v>
                </c:pt>
                <c:pt idx="2">
                  <c:v>62666.8525</c:v>
                </c:pt>
                <c:pt idx="3">
                  <c:v>62944.6835</c:v>
                </c:pt>
                <c:pt idx="4">
                  <c:v>62408.443</c:v>
                </c:pt>
                <c:pt idx="5">
                  <c:v>58112.2525</c:v>
                </c:pt>
                <c:pt idx="6">
                  <c:v>56230.0585</c:v>
                </c:pt>
                <c:pt idx="7">
                  <c:v>54481.943</c:v>
                </c:pt>
                <c:pt idx="8">
                  <c:v>53651.746</c:v>
                </c:pt>
                <c:pt idx="9">
                  <c:v>53006.532</c:v>
                </c:pt>
                <c:pt idx="10">
                  <c:v>52478.36</c:v>
                </c:pt>
                <c:pt idx="11">
                  <c:v>52730.1665</c:v>
                </c:pt>
                <c:pt idx="12">
                  <c:v>52570.1525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'Chiffres Inf respi'!$A$9</c:f>
              <c:strCache>
                <c:ptCount val="1"/>
                <c:pt idx="0">
                  <c:v>TEXODIL / TAKETIAM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respi'!$B$9:$N$9</c:f>
              <c:numCache>
                <c:ptCount val="13"/>
                <c:pt idx="0">
                  <c:v>24505.607</c:v>
                </c:pt>
                <c:pt idx="1">
                  <c:v>23794.712</c:v>
                </c:pt>
                <c:pt idx="2">
                  <c:v>22714.38</c:v>
                </c:pt>
                <c:pt idx="3">
                  <c:v>21586.084</c:v>
                </c:pt>
                <c:pt idx="4">
                  <c:v>20413.25</c:v>
                </c:pt>
                <c:pt idx="5">
                  <c:v>19371.746</c:v>
                </c:pt>
                <c:pt idx="6">
                  <c:v>17718.701</c:v>
                </c:pt>
                <c:pt idx="7">
                  <c:v>16468.782</c:v>
                </c:pt>
                <c:pt idx="8">
                  <c:v>16181.569</c:v>
                </c:pt>
                <c:pt idx="9">
                  <c:v>15753.89</c:v>
                </c:pt>
                <c:pt idx="10">
                  <c:v>15456.97</c:v>
                </c:pt>
                <c:pt idx="11">
                  <c:v>15174.896</c:v>
                </c:pt>
                <c:pt idx="12">
                  <c:v>14904.242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'Chiffres Inf respi'!$A$10</c:f>
              <c:strCache>
                <c:ptCount val="1"/>
                <c:pt idx="0">
                  <c:v>ROCEPHINE + Gé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respi'!$B$10:$N$10</c:f>
              <c:numCache>
                <c:ptCount val="13"/>
                <c:pt idx="0">
                  <c:v>179340.0075</c:v>
                </c:pt>
                <c:pt idx="1">
                  <c:v>178804.566</c:v>
                </c:pt>
                <c:pt idx="2">
                  <c:v>176855.1235</c:v>
                </c:pt>
                <c:pt idx="3">
                  <c:v>173578.253</c:v>
                </c:pt>
                <c:pt idx="4">
                  <c:v>169790.0815</c:v>
                </c:pt>
                <c:pt idx="5">
                  <c:v>156037.772</c:v>
                </c:pt>
                <c:pt idx="6">
                  <c:v>140566.1485</c:v>
                </c:pt>
                <c:pt idx="7">
                  <c:v>134357.591</c:v>
                </c:pt>
                <c:pt idx="8">
                  <c:v>131405.866</c:v>
                </c:pt>
                <c:pt idx="9">
                  <c:v>128984.7955</c:v>
                </c:pt>
                <c:pt idx="10">
                  <c:v>127086.321</c:v>
                </c:pt>
                <c:pt idx="11">
                  <c:v>125092.6705</c:v>
                </c:pt>
                <c:pt idx="12">
                  <c:v>122813.7875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'Chiffres Inf respi'!$A$11</c:f>
              <c:strCache>
                <c:ptCount val="1"/>
                <c:pt idx="0">
                  <c:v>OROKEN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respi'!$B$11:$N$11</c:f>
              <c:numCache>
                <c:ptCount val="13"/>
                <c:pt idx="0">
                  <c:v>100245.956</c:v>
                </c:pt>
                <c:pt idx="1">
                  <c:v>99856.994</c:v>
                </c:pt>
                <c:pt idx="2">
                  <c:v>98255.51</c:v>
                </c:pt>
                <c:pt idx="3">
                  <c:v>97020.2835</c:v>
                </c:pt>
                <c:pt idx="4">
                  <c:v>91952.3405</c:v>
                </c:pt>
                <c:pt idx="5">
                  <c:v>83928.2805</c:v>
                </c:pt>
                <c:pt idx="6">
                  <c:v>79160.232</c:v>
                </c:pt>
                <c:pt idx="7">
                  <c:v>75434.775</c:v>
                </c:pt>
                <c:pt idx="8">
                  <c:v>74106.1635</c:v>
                </c:pt>
                <c:pt idx="9">
                  <c:v>71720.187</c:v>
                </c:pt>
                <c:pt idx="10">
                  <c:v>71309.321</c:v>
                </c:pt>
                <c:pt idx="11">
                  <c:v>71552.767</c:v>
                </c:pt>
                <c:pt idx="12">
                  <c:v>70342.082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'Chiffres Inf respi'!$A$12</c:f>
              <c:strCache>
                <c:ptCount val="1"/>
                <c:pt idx="0">
                  <c:v>ORELOX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respi'!$B$12:$N$12</c:f>
              <c:numCache>
                <c:ptCount val="13"/>
                <c:pt idx="0">
                  <c:v>365736.182</c:v>
                </c:pt>
                <c:pt idx="1">
                  <c:v>367578.259</c:v>
                </c:pt>
                <c:pt idx="2">
                  <c:v>361990.5725</c:v>
                </c:pt>
                <c:pt idx="3">
                  <c:v>353144.848</c:v>
                </c:pt>
                <c:pt idx="4">
                  <c:v>338627.1525</c:v>
                </c:pt>
                <c:pt idx="5">
                  <c:v>313727.126</c:v>
                </c:pt>
                <c:pt idx="6">
                  <c:v>295956.3525</c:v>
                </c:pt>
                <c:pt idx="7">
                  <c:v>280504.144</c:v>
                </c:pt>
                <c:pt idx="8">
                  <c:v>271480.3685</c:v>
                </c:pt>
                <c:pt idx="9">
                  <c:v>262315.677</c:v>
                </c:pt>
                <c:pt idx="10">
                  <c:v>261132.2565</c:v>
                </c:pt>
                <c:pt idx="11">
                  <c:v>261483.0495</c:v>
                </c:pt>
                <c:pt idx="12">
                  <c:v>256025.653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'Chiffres Inf respi'!$A$13</c:f>
              <c:strCache>
                <c:ptCount val="1"/>
                <c:pt idx="0">
                  <c:v>RULID / CLARAMID + Gé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respi'!$B$13:$N$13</c:f>
              <c:numCache>
                <c:ptCount val="13"/>
                <c:pt idx="0">
                  <c:v>54858.2295</c:v>
                </c:pt>
                <c:pt idx="1">
                  <c:v>54812.0105</c:v>
                </c:pt>
                <c:pt idx="2">
                  <c:v>53921.2065</c:v>
                </c:pt>
                <c:pt idx="3">
                  <c:v>53248.914</c:v>
                </c:pt>
                <c:pt idx="4">
                  <c:v>52084.8065</c:v>
                </c:pt>
                <c:pt idx="5">
                  <c:v>46949.8865</c:v>
                </c:pt>
                <c:pt idx="6">
                  <c:v>43063.0315</c:v>
                </c:pt>
                <c:pt idx="7">
                  <c:v>40161.6975</c:v>
                </c:pt>
                <c:pt idx="8">
                  <c:v>38723.1315</c:v>
                </c:pt>
                <c:pt idx="9">
                  <c:v>37032.6895</c:v>
                </c:pt>
                <c:pt idx="10">
                  <c:v>35903.165</c:v>
                </c:pt>
                <c:pt idx="11">
                  <c:v>34991.675</c:v>
                </c:pt>
                <c:pt idx="12">
                  <c:v>32912.58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'Chiffres Inf respi'!$A$14</c:f>
              <c:strCache>
                <c:ptCount val="1"/>
                <c:pt idx="0">
                  <c:v>JOSACINE + Gé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respi'!$B$14:$N$14</c:f>
              <c:numCache>
                <c:ptCount val="13"/>
                <c:pt idx="0">
                  <c:v>31764.0755</c:v>
                </c:pt>
                <c:pt idx="1">
                  <c:v>32391.1215</c:v>
                </c:pt>
                <c:pt idx="2">
                  <c:v>32619.9615</c:v>
                </c:pt>
                <c:pt idx="3">
                  <c:v>33656.5215</c:v>
                </c:pt>
                <c:pt idx="4">
                  <c:v>32890.073</c:v>
                </c:pt>
                <c:pt idx="5">
                  <c:v>30283.465</c:v>
                </c:pt>
                <c:pt idx="6">
                  <c:v>28928.8265</c:v>
                </c:pt>
                <c:pt idx="7">
                  <c:v>27762.3165</c:v>
                </c:pt>
                <c:pt idx="8">
                  <c:v>27391.65</c:v>
                </c:pt>
                <c:pt idx="9">
                  <c:v>26703.969</c:v>
                </c:pt>
                <c:pt idx="10">
                  <c:v>26302.356</c:v>
                </c:pt>
                <c:pt idx="11">
                  <c:v>26195.1925</c:v>
                </c:pt>
                <c:pt idx="12">
                  <c:v>25849.5025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'Chiffres Inf respi'!$A$15</c:f>
              <c:strCache>
                <c:ptCount val="1"/>
                <c:pt idx="0">
                  <c:v>NAXY / ZECLAR / MONONAXY / MONOZECLAR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respi'!$B$15:$N$15</c:f>
              <c:numCache>
                <c:ptCount val="13"/>
                <c:pt idx="0">
                  <c:v>190868.821</c:v>
                </c:pt>
                <c:pt idx="1">
                  <c:v>195337.969</c:v>
                </c:pt>
                <c:pt idx="2">
                  <c:v>194797.4965</c:v>
                </c:pt>
                <c:pt idx="3">
                  <c:v>191098.141</c:v>
                </c:pt>
                <c:pt idx="4">
                  <c:v>184939.7925</c:v>
                </c:pt>
                <c:pt idx="5">
                  <c:v>169669.108</c:v>
                </c:pt>
                <c:pt idx="6">
                  <c:v>159461.324</c:v>
                </c:pt>
                <c:pt idx="7">
                  <c:v>150901.5695</c:v>
                </c:pt>
                <c:pt idx="8">
                  <c:v>147314.518</c:v>
                </c:pt>
                <c:pt idx="9">
                  <c:v>143917.847</c:v>
                </c:pt>
                <c:pt idx="10">
                  <c:v>143961.7965</c:v>
                </c:pt>
                <c:pt idx="11">
                  <c:v>143170.041</c:v>
                </c:pt>
                <c:pt idx="12">
                  <c:v>138292.335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'Chiffres Inf respi'!$A$16</c:f>
              <c:strCache>
                <c:ptCount val="1"/>
                <c:pt idx="0">
                  <c:v>ZITHROMAX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respi'!$B$16:$N$16</c:f>
              <c:numCache>
                <c:ptCount val="13"/>
                <c:pt idx="0">
                  <c:v>112591.842</c:v>
                </c:pt>
                <c:pt idx="1">
                  <c:v>111588.7335</c:v>
                </c:pt>
                <c:pt idx="2">
                  <c:v>107938.428</c:v>
                </c:pt>
                <c:pt idx="3">
                  <c:v>104019.819</c:v>
                </c:pt>
                <c:pt idx="4">
                  <c:v>98777.9765</c:v>
                </c:pt>
                <c:pt idx="5">
                  <c:v>90073.0255</c:v>
                </c:pt>
                <c:pt idx="6">
                  <c:v>82744.7355</c:v>
                </c:pt>
                <c:pt idx="7">
                  <c:v>78664.064</c:v>
                </c:pt>
                <c:pt idx="8">
                  <c:v>76019.533</c:v>
                </c:pt>
                <c:pt idx="9">
                  <c:v>73016.306</c:v>
                </c:pt>
                <c:pt idx="10">
                  <c:v>71635.159</c:v>
                </c:pt>
                <c:pt idx="11">
                  <c:v>69910.578</c:v>
                </c:pt>
                <c:pt idx="12">
                  <c:v>67628.2185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'Chiffres Inf respi'!$A$17</c:f>
              <c:strCache>
                <c:ptCount val="1"/>
                <c:pt idx="0">
                  <c:v>KETEK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respi'!$B$17:$N$17</c:f>
              <c:numCache>
                <c:ptCount val="13"/>
                <c:pt idx="0">
                  <c:v>200517.624</c:v>
                </c:pt>
                <c:pt idx="1">
                  <c:v>190032.894</c:v>
                </c:pt>
                <c:pt idx="2">
                  <c:v>177171.858</c:v>
                </c:pt>
                <c:pt idx="3">
                  <c:v>157880.304</c:v>
                </c:pt>
                <c:pt idx="4">
                  <c:v>141125.688</c:v>
                </c:pt>
                <c:pt idx="5">
                  <c:v>122261.904</c:v>
                </c:pt>
                <c:pt idx="6">
                  <c:v>105851.25</c:v>
                </c:pt>
                <c:pt idx="7">
                  <c:v>94320.666</c:v>
                </c:pt>
                <c:pt idx="8">
                  <c:v>88810.29</c:v>
                </c:pt>
                <c:pt idx="9">
                  <c:v>87684.12</c:v>
                </c:pt>
                <c:pt idx="10">
                  <c:v>87219.684</c:v>
                </c:pt>
                <c:pt idx="11">
                  <c:v>85791.456</c:v>
                </c:pt>
                <c:pt idx="12">
                  <c:v>84387.672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'Chiffres Inf respi'!$A$18</c:f>
              <c:strCache>
                <c:ptCount val="1"/>
                <c:pt idx="0">
                  <c:v>PYOSTACINE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respi'!$B$18:$N$18</c:f>
              <c:numCache>
                <c:ptCount val="13"/>
                <c:pt idx="0">
                  <c:v>270039.716</c:v>
                </c:pt>
                <c:pt idx="1">
                  <c:v>270467.9285</c:v>
                </c:pt>
                <c:pt idx="2">
                  <c:v>269913.965</c:v>
                </c:pt>
                <c:pt idx="3">
                  <c:v>265639.6315</c:v>
                </c:pt>
                <c:pt idx="4">
                  <c:v>261949.6695</c:v>
                </c:pt>
                <c:pt idx="5">
                  <c:v>256536.242</c:v>
                </c:pt>
                <c:pt idx="6">
                  <c:v>249675.364</c:v>
                </c:pt>
                <c:pt idx="7">
                  <c:v>240603.871</c:v>
                </c:pt>
                <c:pt idx="8">
                  <c:v>236265.989</c:v>
                </c:pt>
                <c:pt idx="9">
                  <c:v>229578.59</c:v>
                </c:pt>
                <c:pt idx="10">
                  <c:v>224327.8895</c:v>
                </c:pt>
                <c:pt idx="11">
                  <c:v>222259.9345</c:v>
                </c:pt>
                <c:pt idx="12">
                  <c:v>217159.835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'Chiffres Inf respi'!$A$19</c:f>
              <c:strCache>
                <c:ptCount val="1"/>
                <c:pt idx="0">
                  <c:v>OFLOCET + Gé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respi'!$B$19:$N$19</c:f>
              <c:numCache>
                <c:ptCount val="13"/>
                <c:pt idx="0">
                  <c:v>40876.943</c:v>
                </c:pt>
                <c:pt idx="1">
                  <c:v>40630.3155</c:v>
                </c:pt>
                <c:pt idx="2">
                  <c:v>41345.4755</c:v>
                </c:pt>
                <c:pt idx="3">
                  <c:v>41605.6145</c:v>
                </c:pt>
                <c:pt idx="4">
                  <c:v>41857.8975</c:v>
                </c:pt>
                <c:pt idx="5">
                  <c:v>42460.4925</c:v>
                </c:pt>
                <c:pt idx="6">
                  <c:v>42300.4585</c:v>
                </c:pt>
                <c:pt idx="7">
                  <c:v>42344.724</c:v>
                </c:pt>
                <c:pt idx="8">
                  <c:v>42468.493</c:v>
                </c:pt>
                <c:pt idx="9">
                  <c:v>42305.2955</c:v>
                </c:pt>
                <c:pt idx="10">
                  <c:v>41905.8785</c:v>
                </c:pt>
                <c:pt idx="11">
                  <c:v>42080.771</c:v>
                </c:pt>
                <c:pt idx="12">
                  <c:v>40520.4755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'Chiffres Inf respi'!$A$20</c:f>
              <c:strCache>
                <c:ptCount val="1"/>
                <c:pt idx="0">
                  <c:v>TAVANIC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respi'!$B$20:$N$20</c:f>
              <c:numCache>
                <c:ptCount val="13"/>
                <c:pt idx="0">
                  <c:v>62713.308</c:v>
                </c:pt>
                <c:pt idx="1">
                  <c:v>60989.737</c:v>
                </c:pt>
                <c:pt idx="2">
                  <c:v>59594.765</c:v>
                </c:pt>
                <c:pt idx="3">
                  <c:v>57474.609</c:v>
                </c:pt>
                <c:pt idx="4">
                  <c:v>54993.12</c:v>
                </c:pt>
                <c:pt idx="5">
                  <c:v>52497.782</c:v>
                </c:pt>
                <c:pt idx="6">
                  <c:v>50089.315</c:v>
                </c:pt>
                <c:pt idx="7">
                  <c:v>48918.445</c:v>
                </c:pt>
                <c:pt idx="8">
                  <c:v>46468.431</c:v>
                </c:pt>
                <c:pt idx="9">
                  <c:v>47040.017</c:v>
                </c:pt>
                <c:pt idx="10">
                  <c:v>46881.383</c:v>
                </c:pt>
                <c:pt idx="11">
                  <c:v>47748.834</c:v>
                </c:pt>
                <c:pt idx="12">
                  <c:v>48276.355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'Chiffres Inf respi'!$A$21</c:f>
              <c:strCache>
                <c:ptCount val="1"/>
                <c:pt idx="0">
                  <c:v>IZILOX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'Chiffres Inf respi'!$B$2:$N$2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respi'!$B$21:$N$21</c:f>
              <c:numCache>
                <c:ptCount val="13"/>
                <c:pt idx="0">
                  <c:v>53058.534</c:v>
                </c:pt>
                <c:pt idx="1">
                  <c:v>52108.422</c:v>
                </c:pt>
                <c:pt idx="2">
                  <c:v>50416.798</c:v>
                </c:pt>
                <c:pt idx="3">
                  <c:v>48176.642</c:v>
                </c:pt>
                <c:pt idx="4">
                  <c:v>46703.274</c:v>
                </c:pt>
                <c:pt idx="5">
                  <c:v>43898.082</c:v>
                </c:pt>
                <c:pt idx="6">
                  <c:v>40807.594</c:v>
                </c:pt>
                <c:pt idx="7">
                  <c:v>38993.228</c:v>
                </c:pt>
                <c:pt idx="8">
                  <c:v>37891.96</c:v>
                </c:pt>
                <c:pt idx="9">
                  <c:v>36638.704</c:v>
                </c:pt>
                <c:pt idx="10">
                  <c:v>36178.184</c:v>
                </c:pt>
                <c:pt idx="11">
                  <c:v>35650.834</c:v>
                </c:pt>
                <c:pt idx="12">
                  <c:v>35344.75</c:v>
                </c:pt>
              </c:numCache>
            </c:numRef>
          </c:val>
          <c:smooth val="0"/>
        </c:ser>
        <c:marker val="1"/>
        <c:axId val="59937532"/>
        <c:axId val="2566877"/>
      </c:lineChart>
      <c:catAx>
        <c:axId val="5993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Montants remboursés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3753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1285"/>
          <c:w val="0.247"/>
          <c:h val="0.8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Evolution par classes (%) - Infections respiratoires hautes et basses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707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respi'!$A$49</c:f>
              <c:strCache>
                <c:ptCount val="1"/>
                <c:pt idx="0">
                  <c:v>C1G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respi'!$B$48:$N$48</c:f>
              <c:strCache>
                <c:ptCount val="13"/>
                <c:pt idx="0">
                  <c:v>oct-04</c:v>
                </c:pt>
                <c:pt idx="1">
                  <c:v>nov-04</c:v>
                </c:pt>
                <c:pt idx="2">
                  <c:v>déc-04</c:v>
                </c:pt>
                <c:pt idx="3">
                  <c:v>jan-05</c:v>
                </c:pt>
                <c:pt idx="4">
                  <c:v>fév-05</c:v>
                </c:pt>
                <c:pt idx="5">
                  <c:v>mar-05</c:v>
                </c:pt>
                <c:pt idx="6">
                  <c:v>avr-05</c:v>
                </c:pt>
                <c:pt idx="7">
                  <c:v>mai-05</c:v>
                </c:pt>
                <c:pt idx="8">
                  <c:v>jun-05</c:v>
                </c:pt>
                <c:pt idx="9">
                  <c:v>jui-05</c:v>
                </c:pt>
                <c:pt idx="10">
                  <c:v>aoû-05</c:v>
                </c:pt>
                <c:pt idx="11">
                  <c:v>sep-05</c:v>
                </c:pt>
                <c:pt idx="12">
                  <c:v>oct-05</c:v>
                </c:pt>
              </c:strCache>
            </c:strRef>
          </c:cat>
          <c:val>
            <c:numRef>
              <c:f>'Chiffres Inf respi'!$B$49:$N$49</c:f>
              <c:numCache>
                <c:ptCount val="13"/>
                <c:pt idx="0">
                  <c:v>0.03790760161238811</c:v>
                </c:pt>
                <c:pt idx="1">
                  <c:v>0.0374392519056873</c:v>
                </c:pt>
                <c:pt idx="2">
                  <c:v>0.03773545627592055</c:v>
                </c:pt>
                <c:pt idx="3">
                  <c:v>0.03901699805628395</c:v>
                </c:pt>
                <c:pt idx="4">
                  <c:v>0.039814344349999524</c:v>
                </c:pt>
                <c:pt idx="5">
                  <c:v>0.04015650995477449</c:v>
                </c:pt>
                <c:pt idx="6">
                  <c:v>0.041309824398320136</c:v>
                </c:pt>
                <c:pt idx="7">
                  <c:v>0.04172544578777272</c:v>
                </c:pt>
                <c:pt idx="8">
                  <c:v>0.042040618834636084</c:v>
                </c:pt>
                <c:pt idx="9">
                  <c:v>0.042553713400395134</c:v>
                </c:pt>
                <c:pt idx="10">
                  <c:v>0.04262947469582555</c:v>
                </c:pt>
                <c:pt idx="11">
                  <c:v>0.042878351897322656</c:v>
                </c:pt>
                <c:pt idx="12">
                  <c:v>0.04344043756260088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respi'!$A$50</c:f>
              <c:strCache>
                <c:ptCount val="1"/>
                <c:pt idx="0">
                  <c:v>C2-C3G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'Chiffres Inf respi'!$B$48:$N$48</c:f>
              <c:strCache>
                <c:ptCount val="13"/>
                <c:pt idx="0">
                  <c:v>oct-04</c:v>
                </c:pt>
                <c:pt idx="1">
                  <c:v>nov-04</c:v>
                </c:pt>
                <c:pt idx="2">
                  <c:v>déc-04</c:v>
                </c:pt>
                <c:pt idx="3">
                  <c:v>jan-05</c:v>
                </c:pt>
                <c:pt idx="4">
                  <c:v>fév-05</c:v>
                </c:pt>
                <c:pt idx="5">
                  <c:v>mar-05</c:v>
                </c:pt>
                <c:pt idx="6">
                  <c:v>avr-05</c:v>
                </c:pt>
                <c:pt idx="7">
                  <c:v>mai-05</c:v>
                </c:pt>
                <c:pt idx="8">
                  <c:v>jun-05</c:v>
                </c:pt>
                <c:pt idx="9">
                  <c:v>jui-05</c:v>
                </c:pt>
                <c:pt idx="10">
                  <c:v>aoû-05</c:v>
                </c:pt>
                <c:pt idx="11">
                  <c:v>sep-05</c:v>
                </c:pt>
                <c:pt idx="12">
                  <c:v>oct-05</c:v>
                </c:pt>
              </c:strCache>
            </c:strRef>
          </c:cat>
          <c:val>
            <c:numRef>
              <c:f>'Chiffres Inf respi'!$B$50:$N$50</c:f>
              <c:numCache>
                <c:ptCount val="13"/>
                <c:pt idx="0">
                  <c:v>0.3618816960971949</c:v>
                </c:pt>
                <c:pt idx="1">
                  <c:v>0.3621050965204722</c:v>
                </c:pt>
                <c:pt idx="2">
                  <c:v>0.36054296429360433</c:v>
                </c:pt>
                <c:pt idx="3">
                  <c:v>0.35734597882873353</c:v>
                </c:pt>
                <c:pt idx="4">
                  <c:v>0.35176380846437083</c:v>
                </c:pt>
                <c:pt idx="5">
                  <c:v>0.34407684662230353</c:v>
                </c:pt>
                <c:pt idx="6">
                  <c:v>0.335056429492825</c:v>
                </c:pt>
                <c:pt idx="7">
                  <c:v>0.3302507451894029</c:v>
                </c:pt>
                <c:pt idx="8">
                  <c:v>0.3274817340940191</c:v>
                </c:pt>
                <c:pt idx="9">
                  <c:v>0.32349885021877</c:v>
                </c:pt>
                <c:pt idx="10">
                  <c:v>0.3229200190887619</c:v>
                </c:pt>
                <c:pt idx="11">
                  <c:v>0.32255112476682857</c:v>
                </c:pt>
                <c:pt idx="12">
                  <c:v>0.32058078126341216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respi'!$A$51</c:f>
              <c:strCache>
                <c:ptCount val="1"/>
                <c:pt idx="0">
                  <c:v>Bêta-lactamines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respi'!$B$48:$N$48</c:f>
              <c:strCache>
                <c:ptCount val="13"/>
                <c:pt idx="0">
                  <c:v>oct-04</c:v>
                </c:pt>
                <c:pt idx="1">
                  <c:v>nov-04</c:v>
                </c:pt>
                <c:pt idx="2">
                  <c:v>déc-04</c:v>
                </c:pt>
                <c:pt idx="3">
                  <c:v>jan-05</c:v>
                </c:pt>
                <c:pt idx="4">
                  <c:v>fév-05</c:v>
                </c:pt>
                <c:pt idx="5">
                  <c:v>mar-05</c:v>
                </c:pt>
                <c:pt idx="6">
                  <c:v>avr-05</c:v>
                </c:pt>
                <c:pt idx="7">
                  <c:v>mai-05</c:v>
                </c:pt>
                <c:pt idx="8">
                  <c:v>jun-05</c:v>
                </c:pt>
                <c:pt idx="9">
                  <c:v>jui-05</c:v>
                </c:pt>
                <c:pt idx="10">
                  <c:v>aoû-05</c:v>
                </c:pt>
                <c:pt idx="11">
                  <c:v>sep-05</c:v>
                </c:pt>
                <c:pt idx="12">
                  <c:v>oct-05</c:v>
                </c:pt>
              </c:strCache>
            </c:strRef>
          </c:cat>
          <c:val>
            <c:numRef>
              <c:f>'Chiffres Inf respi'!$B$51:$N$51</c:f>
              <c:numCache>
                <c:ptCount val="13"/>
                <c:pt idx="0">
                  <c:v>0.544736050497801</c:v>
                </c:pt>
                <c:pt idx="1">
                  <c:v>0.5473191494932232</c:v>
                </c:pt>
                <c:pt idx="2">
                  <c:v>0.5512595125938993</c:v>
                </c:pt>
                <c:pt idx="3">
                  <c:v>0.5604045391434969</c:v>
                </c:pt>
                <c:pt idx="4">
                  <c:v>0.5665698145296175</c:v>
                </c:pt>
                <c:pt idx="5">
                  <c:v>0.5681749570572364</c:v>
                </c:pt>
                <c:pt idx="6">
                  <c:v>0.5717753451958115</c:v>
                </c:pt>
                <c:pt idx="7">
                  <c:v>0.5763670222698616</c:v>
                </c:pt>
                <c:pt idx="8">
                  <c:v>0.5793863509828395</c:v>
                </c:pt>
                <c:pt idx="9">
                  <c:v>0.5809473429709405</c:v>
                </c:pt>
                <c:pt idx="10">
                  <c:v>0.5825874592688148</c:v>
                </c:pt>
                <c:pt idx="11">
                  <c:v>0.5848526187614348</c:v>
                </c:pt>
                <c:pt idx="12">
                  <c:v>0.5873586557011174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respi'!$A$52</c:f>
              <c:strCache>
                <c:ptCount val="1"/>
                <c:pt idx="0">
                  <c:v>Macrolides et apparentés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respi'!$B$48:$N$48</c:f>
              <c:strCache>
                <c:ptCount val="13"/>
                <c:pt idx="0">
                  <c:v>oct-04</c:v>
                </c:pt>
                <c:pt idx="1">
                  <c:v>nov-04</c:v>
                </c:pt>
                <c:pt idx="2">
                  <c:v>déc-04</c:v>
                </c:pt>
                <c:pt idx="3">
                  <c:v>jan-05</c:v>
                </c:pt>
                <c:pt idx="4">
                  <c:v>fév-05</c:v>
                </c:pt>
                <c:pt idx="5">
                  <c:v>mar-05</c:v>
                </c:pt>
                <c:pt idx="6">
                  <c:v>avr-05</c:v>
                </c:pt>
                <c:pt idx="7">
                  <c:v>mai-05</c:v>
                </c:pt>
                <c:pt idx="8">
                  <c:v>jun-05</c:v>
                </c:pt>
                <c:pt idx="9">
                  <c:v>jui-05</c:v>
                </c:pt>
                <c:pt idx="10">
                  <c:v>aoû-05</c:v>
                </c:pt>
                <c:pt idx="11">
                  <c:v>sep-05</c:v>
                </c:pt>
                <c:pt idx="12">
                  <c:v>oct-05</c:v>
                </c:pt>
              </c:strCache>
            </c:strRef>
          </c:cat>
          <c:val>
            <c:numRef>
              <c:f>'Chiffres Inf respi'!$B$52:$N$52</c:f>
              <c:numCache>
                <c:ptCount val="13"/>
                <c:pt idx="0">
                  <c:v>0.38515944820109155</c:v>
                </c:pt>
                <c:pt idx="1">
                  <c:v>0.3836678030618155</c:v>
                </c:pt>
                <c:pt idx="2">
                  <c:v>0.37997602542092357</c:v>
                </c:pt>
                <c:pt idx="3">
                  <c:v>0.3716552464321702</c:v>
                </c:pt>
                <c:pt idx="4">
                  <c:v>0.36545329540678767</c:v>
                </c:pt>
                <c:pt idx="5">
                  <c:v>0.36166409260694565</c:v>
                </c:pt>
                <c:pt idx="6">
                  <c:v>0.3571861181924052</c:v>
                </c:pt>
                <c:pt idx="7">
                  <c:v>0.35128076346093096</c:v>
                </c:pt>
                <c:pt idx="8">
                  <c:v>0.34865617657643344</c:v>
                </c:pt>
                <c:pt idx="9">
                  <c:v>0.346124548389263</c:v>
                </c:pt>
                <c:pt idx="10">
                  <c:v>0.3443885836164828</c:v>
                </c:pt>
                <c:pt idx="11">
                  <c:v>0.3415490116584574</c:v>
                </c:pt>
                <c:pt idx="12">
                  <c:v>0.3384408130239253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'Chiffres Inf respi'!$A$53</c:f>
              <c:strCache>
                <c:ptCount val="1"/>
                <c:pt idx="0">
                  <c:v>Fluoroquinolones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'Chiffres Inf respi'!$B$48:$N$48</c:f>
              <c:strCache>
                <c:ptCount val="13"/>
                <c:pt idx="0">
                  <c:v>oct-04</c:v>
                </c:pt>
                <c:pt idx="1">
                  <c:v>nov-04</c:v>
                </c:pt>
                <c:pt idx="2">
                  <c:v>déc-04</c:v>
                </c:pt>
                <c:pt idx="3">
                  <c:v>jan-05</c:v>
                </c:pt>
                <c:pt idx="4">
                  <c:v>fév-05</c:v>
                </c:pt>
                <c:pt idx="5">
                  <c:v>mar-05</c:v>
                </c:pt>
                <c:pt idx="6">
                  <c:v>avr-05</c:v>
                </c:pt>
                <c:pt idx="7">
                  <c:v>mai-05</c:v>
                </c:pt>
                <c:pt idx="8">
                  <c:v>jun-05</c:v>
                </c:pt>
                <c:pt idx="9">
                  <c:v>jui-05</c:v>
                </c:pt>
                <c:pt idx="10">
                  <c:v>aoû-05</c:v>
                </c:pt>
                <c:pt idx="11">
                  <c:v>sep-05</c:v>
                </c:pt>
                <c:pt idx="12">
                  <c:v>oct-05</c:v>
                </c:pt>
              </c:strCache>
            </c:strRef>
          </c:cat>
          <c:val>
            <c:numRef>
              <c:f>'Chiffres Inf respi'!$B$53:$N$53</c:f>
              <c:numCache>
                <c:ptCount val="13"/>
                <c:pt idx="0">
                  <c:v>0.07010450130110733</c:v>
                </c:pt>
                <c:pt idx="1">
                  <c:v>0.06901304744496116</c:v>
                </c:pt>
                <c:pt idx="2">
                  <c:v>0.06876446198517717</c:v>
                </c:pt>
                <c:pt idx="3">
                  <c:v>0.06794021442433298</c:v>
                </c:pt>
                <c:pt idx="4">
                  <c:v>0.06797689006359459</c:v>
                </c:pt>
                <c:pt idx="5">
                  <c:v>0.07016095033581791</c:v>
                </c:pt>
                <c:pt idx="6">
                  <c:v>0.0710385366117834</c:v>
                </c:pt>
                <c:pt idx="7">
                  <c:v>0.07235221426920749</c:v>
                </c:pt>
                <c:pt idx="8">
                  <c:v>0.07195747244072709</c:v>
                </c:pt>
                <c:pt idx="9">
                  <c:v>0.07292810863979626</c:v>
                </c:pt>
                <c:pt idx="10">
                  <c:v>0.0730239571147025</c:v>
                </c:pt>
                <c:pt idx="11">
                  <c:v>0.07359836958010785</c:v>
                </c:pt>
                <c:pt idx="12">
                  <c:v>0.07420053127495736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'Chiffres Inf respi'!$A$54</c:f>
              <c:strCache>
                <c:ptCount val="1"/>
                <c:pt idx="0">
                  <c:v>ATB 1ère intention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respi'!$B$48:$N$48</c:f>
              <c:strCache>
                <c:ptCount val="13"/>
                <c:pt idx="0">
                  <c:v>oct-04</c:v>
                </c:pt>
                <c:pt idx="1">
                  <c:v>nov-04</c:v>
                </c:pt>
                <c:pt idx="2">
                  <c:v>déc-04</c:v>
                </c:pt>
                <c:pt idx="3">
                  <c:v>jan-05</c:v>
                </c:pt>
                <c:pt idx="4">
                  <c:v>fév-05</c:v>
                </c:pt>
                <c:pt idx="5">
                  <c:v>mar-05</c:v>
                </c:pt>
                <c:pt idx="6">
                  <c:v>avr-05</c:v>
                </c:pt>
                <c:pt idx="7">
                  <c:v>mai-05</c:v>
                </c:pt>
                <c:pt idx="8">
                  <c:v>jun-05</c:v>
                </c:pt>
                <c:pt idx="9">
                  <c:v>jui-05</c:v>
                </c:pt>
                <c:pt idx="10">
                  <c:v>aoû-05</c:v>
                </c:pt>
                <c:pt idx="11">
                  <c:v>sep-05</c:v>
                </c:pt>
                <c:pt idx="12">
                  <c:v>oct-05</c:v>
                </c:pt>
              </c:strCache>
            </c:strRef>
          </c:cat>
          <c:val>
            <c:numRef>
              <c:f>'Chiffres Inf respi'!$B$54:$N$54</c:f>
              <c:numCache>
                <c:ptCount val="13"/>
                <c:pt idx="0">
                  <c:v>0.14494675278821806</c:v>
                </c:pt>
                <c:pt idx="1">
                  <c:v>0.1477748010670637</c:v>
                </c:pt>
                <c:pt idx="2">
                  <c:v>0.15298109202437438</c:v>
                </c:pt>
                <c:pt idx="3">
                  <c:v>0.16404156225847932</c:v>
                </c:pt>
                <c:pt idx="4">
                  <c:v>0.1749916617152471</c:v>
                </c:pt>
                <c:pt idx="5">
                  <c:v>0.18394160048015845</c:v>
                </c:pt>
                <c:pt idx="6">
                  <c:v>0.19540909130466635</c:v>
                </c:pt>
                <c:pt idx="7">
                  <c:v>0.2043908312926859</c:v>
                </c:pt>
                <c:pt idx="8">
                  <c:v>0.20986399805418426</c:v>
                </c:pt>
                <c:pt idx="9">
                  <c:v>0.21489477935177542</c:v>
                </c:pt>
                <c:pt idx="10">
                  <c:v>0.21703796548422732</c:v>
                </c:pt>
                <c:pt idx="11">
                  <c:v>0.21942314209728359</c:v>
                </c:pt>
                <c:pt idx="12">
                  <c:v>0.22333743687510446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'Chiffres Inf respi'!$A$55</c:f>
              <c:strCache>
                <c:ptCount val="1"/>
                <c:pt idx="0">
                  <c:v>ATB 2ème intention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respi'!$B$48:$N$48</c:f>
              <c:strCache>
                <c:ptCount val="13"/>
                <c:pt idx="0">
                  <c:v>oct-04</c:v>
                </c:pt>
                <c:pt idx="1">
                  <c:v>nov-04</c:v>
                </c:pt>
                <c:pt idx="2">
                  <c:v>déc-04</c:v>
                </c:pt>
                <c:pt idx="3">
                  <c:v>jan-05</c:v>
                </c:pt>
                <c:pt idx="4">
                  <c:v>fév-05</c:v>
                </c:pt>
                <c:pt idx="5">
                  <c:v>mar-05</c:v>
                </c:pt>
                <c:pt idx="6">
                  <c:v>avr-05</c:v>
                </c:pt>
                <c:pt idx="7">
                  <c:v>mai-05</c:v>
                </c:pt>
                <c:pt idx="8">
                  <c:v>jun-05</c:v>
                </c:pt>
                <c:pt idx="9">
                  <c:v>jui-05</c:v>
                </c:pt>
                <c:pt idx="10">
                  <c:v>aoû-05</c:v>
                </c:pt>
                <c:pt idx="11">
                  <c:v>sep-05</c:v>
                </c:pt>
                <c:pt idx="12">
                  <c:v>oct-05</c:v>
                </c:pt>
              </c:strCache>
            </c:strRef>
          </c:cat>
          <c:val>
            <c:numRef>
              <c:f>'Chiffres Inf respi'!$B$55:$N$55</c:f>
              <c:numCache>
                <c:ptCount val="13"/>
                <c:pt idx="0">
                  <c:v>0.8550532472117821</c:v>
                </c:pt>
                <c:pt idx="1">
                  <c:v>0.8522251989329364</c:v>
                </c:pt>
                <c:pt idx="2">
                  <c:v>0.8470189079756256</c:v>
                </c:pt>
                <c:pt idx="3">
                  <c:v>0.8359584377415207</c:v>
                </c:pt>
                <c:pt idx="4">
                  <c:v>0.8250083382847527</c:v>
                </c:pt>
                <c:pt idx="5">
                  <c:v>0.8160583995198414</c:v>
                </c:pt>
                <c:pt idx="6">
                  <c:v>0.8045909086953338</c:v>
                </c:pt>
                <c:pt idx="7">
                  <c:v>0.7956091687073142</c:v>
                </c:pt>
                <c:pt idx="8">
                  <c:v>0.7901360019458157</c:v>
                </c:pt>
                <c:pt idx="9">
                  <c:v>0.7851052206482243</c:v>
                </c:pt>
                <c:pt idx="10">
                  <c:v>0.7829620345157727</c:v>
                </c:pt>
                <c:pt idx="11">
                  <c:v>0.7805768579027167</c:v>
                </c:pt>
                <c:pt idx="12">
                  <c:v>0.7766625631248958</c:v>
                </c:pt>
              </c:numCache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Montants remboursés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0189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144"/>
          <c:w val="0.23875"/>
          <c:h val="0.8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Montants remboursés mensuels (%) - Infections cutanéo muqueuses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'Chiffres Inf Cutanées'!$A$12</c:f>
              <c:strCache>
                <c:ptCount val="1"/>
                <c:pt idx="0">
                  <c:v>ORBENINE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Cutanées'!$B$11:$N$11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Cutanées'!$B$12:$N$12</c:f>
              <c:numCache>
                <c:ptCount val="13"/>
                <c:pt idx="0">
                  <c:v>0.060238891659000364</c:v>
                </c:pt>
                <c:pt idx="1">
                  <c:v>0.06201158160327078</c:v>
                </c:pt>
                <c:pt idx="2">
                  <c:v>0.06399409179801588</c:v>
                </c:pt>
                <c:pt idx="3">
                  <c:v>0.0659739456811233</c:v>
                </c:pt>
                <c:pt idx="4">
                  <c:v>0.06845282519861436</c:v>
                </c:pt>
                <c:pt idx="5">
                  <c:v>0.07093139011222925</c:v>
                </c:pt>
                <c:pt idx="6">
                  <c:v>0.07407500516006796</c:v>
                </c:pt>
                <c:pt idx="7">
                  <c:v>0.07824407254233633</c:v>
                </c:pt>
                <c:pt idx="8">
                  <c:v>0.07963289581462499</c:v>
                </c:pt>
                <c:pt idx="9">
                  <c:v>0.08026167811616079</c:v>
                </c:pt>
                <c:pt idx="10">
                  <c:v>0.08279879066850769</c:v>
                </c:pt>
                <c:pt idx="11">
                  <c:v>0.08589930626419323</c:v>
                </c:pt>
                <c:pt idx="12">
                  <c:v>0.0896705644371584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Cutanées'!$A$13</c:f>
              <c:strCache>
                <c:ptCount val="1"/>
                <c:pt idx="0">
                  <c:v>BRISTOPEN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Cutanées'!$B$11:$N$11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Cutanées'!$B$13:$N$13</c:f>
              <c:numCache>
                <c:ptCount val="13"/>
                <c:pt idx="0">
                  <c:v>0.04255210797437538</c:v>
                </c:pt>
                <c:pt idx="1">
                  <c:v>0.0421478827413398</c:v>
                </c:pt>
                <c:pt idx="2">
                  <c:v>0.04073145974953425</c:v>
                </c:pt>
                <c:pt idx="3">
                  <c:v>0.04005157552199296</c:v>
                </c:pt>
                <c:pt idx="4">
                  <c:v>0.04017994571830594</c:v>
                </c:pt>
                <c:pt idx="5">
                  <c:v>0.04070671227076123</c:v>
                </c:pt>
                <c:pt idx="6">
                  <c:v>0.04197240743019168</c:v>
                </c:pt>
                <c:pt idx="7">
                  <c:v>0.04255801889508397</c:v>
                </c:pt>
                <c:pt idx="8">
                  <c:v>0.04346423821368644</c:v>
                </c:pt>
                <c:pt idx="9">
                  <c:v>0.04520926647251216</c:v>
                </c:pt>
                <c:pt idx="10">
                  <c:v>0.04750776883860545</c:v>
                </c:pt>
                <c:pt idx="11">
                  <c:v>0.04940425758883746</c:v>
                </c:pt>
                <c:pt idx="12">
                  <c:v>0.05031013894227989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Cutanées'!$A$14</c:f>
              <c:strCache>
                <c:ptCount val="1"/>
                <c:pt idx="0">
                  <c:v>PYOSTACINE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Cutanées'!$B$11:$N$11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Cutanées'!$B$14:$N$14</c:f>
              <c:numCache>
                <c:ptCount val="13"/>
                <c:pt idx="0">
                  <c:v>0.7029149316001088</c:v>
                </c:pt>
                <c:pt idx="1">
                  <c:v>0.707430070144529</c:v>
                </c:pt>
                <c:pt idx="2">
                  <c:v>0.7088503145975715</c:v>
                </c:pt>
                <c:pt idx="3">
                  <c:v>0.7102710054492012</c:v>
                </c:pt>
                <c:pt idx="4">
                  <c:v>0.7090529744566869</c:v>
                </c:pt>
                <c:pt idx="5">
                  <c:v>0.7033427397595331</c:v>
                </c:pt>
                <c:pt idx="6">
                  <c:v>0.6987664157864967</c:v>
                </c:pt>
                <c:pt idx="7">
                  <c:v>0.6952122011673304</c:v>
                </c:pt>
                <c:pt idx="8">
                  <c:v>0.6928601852239354</c:v>
                </c:pt>
                <c:pt idx="9">
                  <c:v>0.68924273939537</c:v>
                </c:pt>
                <c:pt idx="10">
                  <c:v>0.6795910866232647</c:v>
                </c:pt>
                <c:pt idx="11">
                  <c:v>0.6739144638196106</c:v>
                </c:pt>
                <c:pt idx="12">
                  <c:v>0.6662772682773855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Cutanées'!$A$15</c:f>
              <c:strCache>
                <c:ptCount val="1"/>
                <c:pt idx="0">
                  <c:v>FUCIDINE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'Chiffres Inf Cutanées'!$B$11:$N$11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Cutanées'!$B$15:$N$15</c:f>
              <c:numCache>
                <c:ptCount val="13"/>
                <c:pt idx="0">
                  <c:v>0.19429406876651545</c:v>
                </c:pt>
                <c:pt idx="1">
                  <c:v>0.18841046551086035</c:v>
                </c:pt>
                <c:pt idx="2">
                  <c:v>0.18642413385487835</c:v>
                </c:pt>
                <c:pt idx="3">
                  <c:v>0.1837034733476826</c:v>
                </c:pt>
                <c:pt idx="4">
                  <c:v>0.18231425462639278</c:v>
                </c:pt>
                <c:pt idx="5">
                  <c:v>0.18501915785747644</c:v>
                </c:pt>
                <c:pt idx="6">
                  <c:v>0.18518617162324374</c:v>
                </c:pt>
                <c:pt idx="7">
                  <c:v>0.18398570739524933</c:v>
                </c:pt>
                <c:pt idx="8">
                  <c:v>0.18404268074775307</c:v>
                </c:pt>
                <c:pt idx="9">
                  <c:v>0.18528631601595713</c:v>
                </c:pt>
                <c:pt idx="10">
                  <c:v>0.19010235386962226</c:v>
                </c:pt>
                <c:pt idx="11">
                  <c:v>0.19078197232735872</c:v>
                </c:pt>
                <c:pt idx="12">
                  <c:v>0.1937420283431761</c:v>
                </c:pt>
              </c:numCache>
            </c:numRef>
          </c:val>
          <c:smooth val="0"/>
        </c:ser>
        <c:marker val="1"/>
        <c:axId val="59314096"/>
        <c:axId val="64064817"/>
      </c:lineChart>
      <c:cat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Montants remboursés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4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Montants remboursés mensuels - Infections cutanéo muqueuses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'Chiffres Inf Cutanées'!$A$3</c:f>
              <c:strCache>
                <c:ptCount val="1"/>
                <c:pt idx="0">
                  <c:v>ORBENINE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Cutanées'!$B$2:$N$2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Cutanées'!$B$3:$N$3</c:f>
              <c:numCache>
                <c:ptCount val="13"/>
                <c:pt idx="0">
                  <c:v>23142.051</c:v>
                </c:pt>
                <c:pt idx="1">
                  <c:v>23708.554</c:v>
                </c:pt>
                <c:pt idx="2">
                  <c:v>24367.4845</c:v>
                </c:pt>
                <c:pt idx="3">
                  <c:v>24674.0955</c:v>
                </c:pt>
                <c:pt idx="4">
                  <c:v>25288.9355</c:v>
                </c:pt>
                <c:pt idx="5">
                  <c:v>25871.4155</c:v>
                </c:pt>
                <c:pt idx="6">
                  <c:v>26467.6485</c:v>
                </c:pt>
                <c:pt idx="7">
                  <c:v>27079.2525</c:v>
                </c:pt>
                <c:pt idx="8">
                  <c:v>27154.894</c:v>
                </c:pt>
                <c:pt idx="9">
                  <c:v>26734.214</c:v>
                </c:pt>
                <c:pt idx="10">
                  <c:v>27331.256</c:v>
                </c:pt>
                <c:pt idx="11">
                  <c:v>28329.9665</c:v>
                </c:pt>
                <c:pt idx="12">
                  <c:v>29226.3385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Cutanées'!$A$4</c:f>
              <c:strCache>
                <c:ptCount val="1"/>
                <c:pt idx="0">
                  <c:v>BRISTOPEN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Cutanées'!$B$2:$N$2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Cutanées'!$B$4:$N$4</c:f>
              <c:numCache>
                <c:ptCount val="13"/>
                <c:pt idx="0">
                  <c:v>16347.297</c:v>
                </c:pt>
                <c:pt idx="1">
                  <c:v>16114.173</c:v>
                </c:pt>
                <c:pt idx="2">
                  <c:v>15509.607</c:v>
                </c:pt>
                <c:pt idx="3">
                  <c:v>14979.192</c:v>
                </c:pt>
                <c:pt idx="4">
                  <c:v>14843.917</c:v>
                </c:pt>
                <c:pt idx="5">
                  <c:v>14847.309</c:v>
                </c:pt>
                <c:pt idx="6">
                  <c:v>14997.109</c:v>
                </c:pt>
                <c:pt idx="7">
                  <c:v>14728.775</c:v>
                </c:pt>
                <c:pt idx="8">
                  <c:v>14821.347</c:v>
                </c:pt>
                <c:pt idx="9">
                  <c:v>15058.671</c:v>
                </c:pt>
                <c:pt idx="10">
                  <c:v>15681.956</c:v>
                </c:pt>
                <c:pt idx="11">
                  <c:v>16293.74</c:v>
                </c:pt>
                <c:pt idx="12">
                  <c:v>16397.59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Cutanées'!$A$5</c:f>
              <c:strCache>
                <c:ptCount val="1"/>
                <c:pt idx="0">
                  <c:v>PYOSTACINE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Cutanées'!$B$2:$N$2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Cutanées'!$B$5:$N$5</c:f>
              <c:numCache>
                <c:ptCount val="13"/>
                <c:pt idx="0">
                  <c:v>270039.716</c:v>
                </c:pt>
                <c:pt idx="1">
                  <c:v>270467.9285</c:v>
                </c:pt>
                <c:pt idx="2">
                  <c:v>269913.965</c:v>
                </c:pt>
                <c:pt idx="3">
                  <c:v>265639.6315</c:v>
                </c:pt>
                <c:pt idx="4">
                  <c:v>261949.6695</c:v>
                </c:pt>
                <c:pt idx="5">
                  <c:v>256536.242</c:v>
                </c:pt>
                <c:pt idx="6">
                  <c:v>249675.364</c:v>
                </c:pt>
                <c:pt idx="7">
                  <c:v>240603.871</c:v>
                </c:pt>
                <c:pt idx="8">
                  <c:v>236265.989</c:v>
                </c:pt>
                <c:pt idx="9">
                  <c:v>229578.59</c:v>
                </c:pt>
                <c:pt idx="10">
                  <c:v>224327.8895</c:v>
                </c:pt>
                <c:pt idx="11">
                  <c:v>222259.9345</c:v>
                </c:pt>
                <c:pt idx="12">
                  <c:v>217159.835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Cutanées'!$A$6</c:f>
              <c:strCache>
                <c:ptCount val="1"/>
                <c:pt idx="0">
                  <c:v>FUCIDINE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'Chiffres Inf Cutanées'!$B$2:$N$2</c:f>
              <c:strCache>
                <c:ptCount val="13"/>
                <c:pt idx="0">
                  <c:v>sept-5</c:v>
                </c:pt>
                <c:pt idx="1">
                  <c:v>oct-5</c:v>
                </c:pt>
                <c:pt idx="2">
                  <c:v>nov-5</c:v>
                </c:pt>
                <c:pt idx="3">
                  <c:v>déc-5</c:v>
                </c:pt>
                <c:pt idx="4">
                  <c:v>janv-6</c:v>
                </c:pt>
                <c:pt idx="5">
                  <c:v>fév-6</c:v>
                </c:pt>
                <c:pt idx="6">
                  <c:v>mars-6</c:v>
                </c:pt>
                <c:pt idx="7">
                  <c:v>avr-6</c:v>
                </c:pt>
                <c:pt idx="8">
                  <c:v>mai-6</c:v>
                </c:pt>
                <c:pt idx="9">
                  <c:v>juin-6</c:v>
                </c:pt>
                <c:pt idx="10">
                  <c:v>juil-6</c:v>
                </c:pt>
                <c:pt idx="11">
                  <c:v>août-6</c:v>
                </c:pt>
                <c:pt idx="12">
                  <c:v>sept-6</c:v>
                </c:pt>
              </c:strCache>
            </c:strRef>
          </c:cat>
          <c:val>
            <c:numRef>
              <c:f>'Chiffres Inf Cutanées'!$B$6:$N$6</c:f>
              <c:numCache>
                <c:ptCount val="13"/>
                <c:pt idx="0">
                  <c:v>74642.1975</c:v>
                </c:pt>
                <c:pt idx="1">
                  <c:v>72033.9585</c:v>
                </c:pt>
                <c:pt idx="2">
                  <c:v>70986.0405</c:v>
                </c:pt>
                <c:pt idx="3">
                  <c:v>68704.653</c:v>
                </c:pt>
                <c:pt idx="4">
                  <c:v>67353.4425</c:v>
                </c:pt>
                <c:pt idx="5">
                  <c:v>67483.6275</c:v>
                </c:pt>
                <c:pt idx="6">
                  <c:v>66168.642</c:v>
                </c:pt>
                <c:pt idx="7">
                  <c:v>63675.0525</c:v>
                </c:pt>
                <c:pt idx="8">
                  <c:v>62758.731</c:v>
                </c:pt>
                <c:pt idx="9">
                  <c:v>61716.6765</c:v>
                </c:pt>
                <c:pt idx="10">
                  <c:v>62751.3525</c:v>
                </c:pt>
                <c:pt idx="11">
                  <c:v>62920.728</c:v>
                </c:pt>
                <c:pt idx="12">
                  <c:v>63146.364</c:v>
                </c:pt>
              </c:numCache>
            </c:numRef>
          </c:val>
          <c:smooth val="0"/>
        </c:ser>
        <c:marker val="1"/>
        <c:axId val="39712442"/>
        <c:axId val="21867659"/>
      </c:lineChart>
      <c:cat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Montants remboursés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12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0.13275</cdr:y>
    </cdr:from>
    <cdr:to>
      <cdr:x>0.9915</cdr:x>
      <cdr:y>0.186</cdr:y>
    </cdr:to>
    <cdr:grpSp>
      <cdr:nvGrpSpPr>
        <cdr:cNvPr id="1" name="Group 10"/>
        <cdr:cNvGrpSpPr>
          <a:grpSpLocks/>
        </cdr:cNvGrpSpPr>
      </cdr:nvGrpSpPr>
      <cdr:grpSpPr>
        <a:xfrm>
          <a:off x="1285875" y="762000"/>
          <a:ext cx="7877175" cy="304800"/>
          <a:chOff x="1511756" y="470223"/>
          <a:chExt cx="4576372" cy="303598"/>
        </a:xfrm>
        <a:solidFill>
          <a:srgbClr val="FFFFFF"/>
        </a:solidFill>
      </cdr:grpSpPr>
      <cdr:sp textlink="'tableau entrée'!$C$2">
        <cdr:nvSpPr>
          <cdr:cNvPr id="2" name="TextBox 11"/>
          <cdr:cNvSpPr txBox="1">
            <a:spLocks noChangeArrowheads="1"/>
          </cdr:cNvSpPr>
        </cdr:nvSpPr>
        <cdr:spPr>
          <a:xfrm>
            <a:off x="3453282" y="470223"/>
            <a:ext cx="2634846" cy="2146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36dcd20b-cf32-4a82-bcbe-7bacb8e85068}" type="TxLink"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Carcassonne</a:t>
            </a:fld>
          </a:p>
        </cdr:txBody>
      </cdr:sp>
      <cdr:sp>
        <cdr:nvSpPr>
          <cdr:cNvPr id="3" name="TextBox 12"/>
          <cdr:cNvSpPr txBox="1">
            <a:spLocks noChangeArrowheads="1"/>
          </cdr:cNvSpPr>
        </cdr:nvSpPr>
        <cdr:spPr>
          <a:xfrm>
            <a:off x="1511756" y="470223"/>
            <a:ext cx="1941526" cy="30359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Cumuls annuels mobiles - Caisse de </a:t>
            </a:r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0.0885</cdr:y>
    </cdr:from>
    <cdr:to>
      <cdr:x>0.978</cdr:x>
      <cdr:y>0.142</cdr:y>
    </cdr:to>
    <cdr:grpSp>
      <cdr:nvGrpSpPr>
        <cdr:cNvPr id="1" name="Group 7"/>
        <cdr:cNvGrpSpPr>
          <a:grpSpLocks/>
        </cdr:cNvGrpSpPr>
      </cdr:nvGrpSpPr>
      <cdr:grpSpPr>
        <a:xfrm>
          <a:off x="904875" y="504825"/>
          <a:ext cx="8124825" cy="304800"/>
          <a:chOff x="1511756" y="470223"/>
          <a:chExt cx="4576372" cy="303598"/>
        </a:xfrm>
        <a:solidFill>
          <a:srgbClr val="FFFFFF"/>
        </a:solidFill>
      </cdr:grpSpPr>
      <cdr:sp textlink="'tableau entrée'!$C$2">
        <cdr:nvSpPr>
          <cdr:cNvPr id="2" name="TextBox 8"/>
          <cdr:cNvSpPr txBox="1">
            <a:spLocks noChangeArrowheads="1"/>
          </cdr:cNvSpPr>
        </cdr:nvSpPr>
        <cdr:spPr>
          <a:xfrm>
            <a:off x="3453282" y="470223"/>
            <a:ext cx="2634846" cy="2146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3eb0f253-1d51-4c1d-a5b5-08f6d773767f}" type="TxLink"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Carcassonne</a:t>
            </a:fld>
          </a:p>
        </cdr:txBody>
      </cdr:sp>
      <cdr:sp>
        <cdr:nvSpPr>
          <cdr:cNvPr id="3" name="TextBox 9"/>
          <cdr:cNvSpPr txBox="1">
            <a:spLocks noChangeArrowheads="1"/>
          </cdr:cNvSpPr>
        </cdr:nvSpPr>
        <cdr:spPr>
          <a:xfrm>
            <a:off x="1511756" y="470223"/>
            <a:ext cx="1941526" cy="30359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Cumuls annuels mobiles - Caisse de </a:t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0.07325</cdr:y>
    </cdr:from>
    <cdr:to>
      <cdr:x>0.95425</cdr:x>
      <cdr:y>0.1265</cdr:y>
    </cdr:to>
    <cdr:grpSp>
      <cdr:nvGrpSpPr>
        <cdr:cNvPr id="1" name="Group 4"/>
        <cdr:cNvGrpSpPr>
          <a:grpSpLocks/>
        </cdr:cNvGrpSpPr>
      </cdr:nvGrpSpPr>
      <cdr:grpSpPr>
        <a:xfrm>
          <a:off x="895350" y="419100"/>
          <a:ext cx="7915275" cy="304800"/>
          <a:chOff x="1511756" y="470223"/>
          <a:chExt cx="4576372" cy="303598"/>
        </a:xfrm>
        <a:solidFill>
          <a:srgbClr val="FFFFFF"/>
        </a:solidFill>
      </cdr:grpSpPr>
      <cdr:sp textlink="'tableau entrée'!$C$2">
        <cdr:nvSpPr>
          <cdr:cNvPr id="2" name="TextBox 5"/>
          <cdr:cNvSpPr txBox="1">
            <a:spLocks noChangeArrowheads="1"/>
          </cdr:cNvSpPr>
        </cdr:nvSpPr>
        <cdr:spPr>
          <a:xfrm>
            <a:off x="3453282" y="470223"/>
            <a:ext cx="2634846" cy="2146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784e7f27-70de-4611-a438-bc994d82d5c3}" type="TxLink"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Carcassonne</a:t>
            </a:fld>
          </a:p>
        </cdr:txBody>
      </cdr:sp>
      <cdr:sp>
        <cdr:nvSpPr>
          <cdr:cNvPr id="3" name="TextBox 6"/>
          <cdr:cNvSpPr txBox="1">
            <a:spLocks noChangeArrowheads="1"/>
          </cdr:cNvSpPr>
        </cdr:nvSpPr>
        <cdr:spPr>
          <a:xfrm>
            <a:off x="1511756" y="470223"/>
            <a:ext cx="1941526" cy="30359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Cumuls annuels mobiles - Caisse de 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0.07325</cdr:y>
    </cdr:from>
    <cdr:to>
      <cdr:x>1</cdr:x>
      <cdr:y>0.1265</cdr:y>
    </cdr:to>
    <cdr:grpSp>
      <cdr:nvGrpSpPr>
        <cdr:cNvPr id="1" name="Group 7"/>
        <cdr:cNvGrpSpPr>
          <a:grpSpLocks/>
        </cdr:cNvGrpSpPr>
      </cdr:nvGrpSpPr>
      <cdr:grpSpPr>
        <a:xfrm>
          <a:off x="1323975" y="419100"/>
          <a:ext cx="7905750" cy="304800"/>
          <a:chOff x="1511756" y="470223"/>
          <a:chExt cx="4576372" cy="303598"/>
        </a:xfrm>
        <a:solidFill>
          <a:srgbClr val="FFFFFF"/>
        </a:solidFill>
      </cdr:grpSpPr>
      <cdr:sp textlink="'tableau entrée'!$C$2">
        <cdr:nvSpPr>
          <cdr:cNvPr id="2" name="TextBox 8"/>
          <cdr:cNvSpPr txBox="1">
            <a:spLocks noChangeArrowheads="1"/>
          </cdr:cNvSpPr>
        </cdr:nvSpPr>
        <cdr:spPr>
          <a:xfrm>
            <a:off x="3453282" y="470223"/>
            <a:ext cx="2634846" cy="2146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a4c8688d-511b-4d72-bfa1-eb107c162d26}" type="TxLink"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Carcassonne</a:t>
            </a:fld>
          </a:p>
        </cdr:txBody>
      </cdr:sp>
      <cdr:sp>
        <cdr:nvSpPr>
          <cdr:cNvPr id="3" name="TextBox 9"/>
          <cdr:cNvSpPr txBox="1">
            <a:spLocks noChangeArrowheads="1"/>
          </cdr:cNvSpPr>
        </cdr:nvSpPr>
        <cdr:spPr>
          <a:xfrm>
            <a:off x="1511756" y="470223"/>
            <a:ext cx="1941526" cy="30359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Cumuls annuels mobiles - Caisse de 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0.11525</cdr:y>
    </cdr:from>
    <cdr:to>
      <cdr:x>0.95625</cdr:x>
      <cdr:y>0.16925</cdr:y>
    </cdr:to>
    <cdr:grpSp>
      <cdr:nvGrpSpPr>
        <cdr:cNvPr id="1" name="Group 7"/>
        <cdr:cNvGrpSpPr>
          <a:grpSpLocks/>
        </cdr:cNvGrpSpPr>
      </cdr:nvGrpSpPr>
      <cdr:grpSpPr>
        <a:xfrm>
          <a:off x="923925" y="657225"/>
          <a:ext cx="7905750" cy="314325"/>
          <a:chOff x="1511756" y="470223"/>
          <a:chExt cx="4576372" cy="303598"/>
        </a:xfrm>
        <a:solidFill>
          <a:srgbClr val="FFFFFF"/>
        </a:solidFill>
      </cdr:grpSpPr>
      <cdr:sp textlink="'tableau entrée'!$C$2">
        <cdr:nvSpPr>
          <cdr:cNvPr id="2" name="TextBox 8"/>
          <cdr:cNvSpPr txBox="1">
            <a:spLocks noChangeArrowheads="1"/>
          </cdr:cNvSpPr>
        </cdr:nvSpPr>
        <cdr:spPr>
          <a:xfrm>
            <a:off x="3453282" y="470223"/>
            <a:ext cx="2634846" cy="2146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3d232f8b-0f7c-4eea-a248-94887804f09a}" type="TxLink"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Carcassonne</a:t>
            </a:fld>
          </a:p>
        </cdr:txBody>
      </cdr:sp>
      <cdr:sp>
        <cdr:nvSpPr>
          <cdr:cNvPr id="3" name="TextBox 9"/>
          <cdr:cNvSpPr txBox="1">
            <a:spLocks noChangeArrowheads="1"/>
          </cdr:cNvSpPr>
        </cdr:nvSpPr>
        <cdr:spPr>
          <a:xfrm>
            <a:off x="1511756" y="470223"/>
            <a:ext cx="1941526" cy="30359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Cumuls annuels mobiles - Caisse de 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0.095</cdr:y>
    </cdr:from>
    <cdr:to>
      <cdr:x>0.946</cdr:x>
      <cdr:y>0.14875</cdr:y>
    </cdr:to>
    <cdr:grpSp>
      <cdr:nvGrpSpPr>
        <cdr:cNvPr id="1" name="Group 10"/>
        <cdr:cNvGrpSpPr>
          <a:grpSpLocks/>
        </cdr:cNvGrpSpPr>
      </cdr:nvGrpSpPr>
      <cdr:grpSpPr>
        <a:xfrm>
          <a:off x="685800" y="542925"/>
          <a:ext cx="8048625" cy="304800"/>
          <a:chOff x="1511756" y="470223"/>
          <a:chExt cx="4576372" cy="303598"/>
        </a:xfrm>
        <a:solidFill>
          <a:srgbClr val="FFFFFF"/>
        </a:solidFill>
      </cdr:grpSpPr>
      <cdr:sp textlink="'tableau entrée'!$C$2">
        <cdr:nvSpPr>
          <cdr:cNvPr id="2" name="TextBox 11"/>
          <cdr:cNvSpPr txBox="1">
            <a:spLocks noChangeArrowheads="1"/>
          </cdr:cNvSpPr>
        </cdr:nvSpPr>
        <cdr:spPr>
          <a:xfrm>
            <a:off x="3453282" y="470223"/>
            <a:ext cx="2634846" cy="2146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e4c7ea0c-98f1-4dd7-8f1b-a6d8938686c2}" type="TxLink"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Carcassonne</a:t>
            </a:fld>
          </a:p>
        </cdr:txBody>
      </cdr:sp>
      <cdr:sp>
        <cdr:nvSpPr>
          <cdr:cNvPr id="3" name="TextBox 12"/>
          <cdr:cNvSpPr txBox="1">
            <a:spLocks noChangeArrowheads="1"/>
          </cdr:cNvSpPr>
        </cdr:nvSpPr>
        <cdr:spPr>
          <a:xfrm>
            <a:off x="1511756" y="470223"/>
            <a:ext cx="1941526" cy="30359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Cumuls annuels mobiles - Caisse de </a:t>
            </a:r>
          </a:p>
        </cdr:txBody>
      </cdr:sp>
    </cdr:grpSp>
  </cdr:relSizeAnchor>
</c:userShapes>
</file>

<file path=xl/tables/table1.xml><?xml version="1.0" encoding="utf-8"?>
<table xmlns="http://schemas.openxmlformats.org/spreadsheetml/2006/main" id="1" name="Liste1" displayName="Liste1" ref="A1:B23" totalsRowShown="0">
  <autoFilter ref="A1:B23"/>
  <tableColumns count="2">
    <tableColumn id="1" name="Ordre"/>
    <tableColumn id="2" name="Antibiotiqu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P23"/>
    </sheetView>
  </sheetViews>
  <sheetFormatPr defaultColWidth="11.421875" defaultRowHeight="12.75"/>
  <cols>
    <col min="1" max="1" width="21.7109375" style="0" customWidth="1"/>
    <col min="2" max="2" width="28.57421875" style="0" bestFit="1" customWidth="1"/>
    <col min="3" max="3" width="28.57421875" style="0" customWidth="1"/>
  </cols>
  <sheetData>
    <row r="1" spans="1:16" ht="12.75">
      <c r="A1" s="56" t="s">
        <v>54</v>
      </c>
      <c r="B1" s="56" t="s">
        <v>37</v>
      </c>
      <c r="C1" s="56" t="s">
        <v>63</v>
      </c>
      <c r="D1" s="56" t="s">
        <v>44</v>
      </c>
      <c r="E1" s="56" t="s">
        <v>45</v>
      </c>
      <c r="F1" s="56" t="s">
        <v>46</v>
      </c>
      <c r="G1" s="56" t="s">
        <v>47</v>
      </c>
      <c r="H1" s="56" t="s">
        <v>48</v>
      </c>
      <c r="I1" s="56" t="s">
        <v>49</v>
      </c>
      <c r="J1" s="56" t="s">
        <v>50</v>
      </c>
      <c r="K1" s="56" t="s">
        <v>51</v>
      </c>
      <c r="L1" s="56" t="s">
        <v>52</v>
      </c>
      <c r="M1" s="56" t="s">
        <v>53</v>
      </c>
      <c r="N1" s="56" t="s">
        <v>60</v>
      </c>
      <c r="O1" s="56" t="s">
        <v>61</v>
      </c>
      <c r="P1" s="56" t="s">
        <v>62</v>
      </c>
    </row>
    <row r="2" spans="1:16" ht="12.75">
      <c r="A2" s="19">
        <v>1</v>
      </c>
      <c r="B2" s="33" t="s">
        <v>0</v>
      </c>
      <c r="C2" s="33" t="s">
        <v>65</v>
      </c>
      <c r="D2" s="57">
        <v>112186.333</v>
      </c>
      <c r="E2" s="57">
        <v>113520.6885</v>
      </c>
      <c r="F2" s="57">
        <v>117389.6145</v>
      </c>
      <c r="G2" s="57">
        <v>127013.264</v>
      </c>
      <c r="H2" s="57">
        <v>133707.3025</v>
      </c>
      <c r="I2" s="57">
        <v>132752.2955</v>
      </c>
      <c r="J2" s="57">
        <v>136796.8455</v>
      </c>
      <c r="K2" s="57">
        <v>140711.416</v>
      </c>
      <c r="L2" s="57">
        <v>144241.7015</v>
      </c>
      <c r="M2" s="57">
        <v>146977.94</v>
      </c>
      <c r="N2" s="57">
        <v>148349.0345</v>
      </c>
      <c r="O2" s="57">
        <v>150312.5415</v>
      </c>
      <c r="P2" s="57">
        <v>151859.352</v>
      </c>
    </row>
    <row r="3" spans="1:16" ht="12.75">
      <c r="A3" s="19">
        <v>2</v>
      </c>
      <c r="B3" s="33" t="s">
        <v>1</v>
      </c>
      <c r="C3" s="33" t="s">
        <v>65</v>
      </c>
      <c r="D3" s="57">
        <v>211697.7585</v>
      </c>
      <c r="E3" s="57">
        <v>215651.7735</v>
      </c>
      <c r="F3" s="57">
        <v>219336.1355</v>
      </c>
      <c r="G3" s="57">
        <v>228538.2525</v>
      </c>
      <c r="H3" s="57">
        <v>235841.878</v>
      </c>
      <c r="I3" s="57">
        <v>231288.675</v>
      </c>
      <c r="J3" s="57">
        <v>229595.507</v>
      </c>
      <c r="K3" s="57">
        <v>227255.391</v>
      </c>
      <c r="L3" s="57">
        <v>225654.791</v>
      </c>
      <c r="M3" s="57">
        <v>224254.88</v>
      </c>
      <c r="N3" s="57">
        <v>223066.6915</v>
      </c>
      <c r="O3" s="57">
        <v>223789.6615</v>
      </c>
      <c r="P3" s="57">
        <v>221796.4955</v>
      </c>
    </row>
    <row r="4" spans="1:16" ht="12.75">
      <c r="A4" s="19">
        <v>3</v>
      </c>
      <c r="B4" s="33" t="s">
        <v>39</v>
      </c>
      <c r="C4" s="33" t="s">
        <v>65</v>
      </c>
      <c r="D4" s="57">
        <v>16347.297</v>
      </c>
      <c r="E4" s="57">
        <v>16114.173</v>
      </c>
      <c r="F4" s="57">
        <v>15509.607</v>
      </c>
      <c r="G4" s="57">
        <v>14979.192</v>
      </c>
      <c r="H4" s="57">
        <v>14843.917</v>
      </c>
      <c r="I4" s="57">
        <v>14847.309</v>
      </c>
      <c r="J4" s="57">
        <v>14997.109</v>
      </c>
      <c r="K4" s="57">
        <v>14728.775</v>
      </c>
      <c r="L4" s="57">
        <v>14821.347</v>
      </c>
      <c r="M4" s="57">
        <v>15058.671</v>
      </c>
      <c r="N4" s="57">
        <v>15681.956</v>
      </c>
      <c r="O4" s="57">
        <v>16293.74</v>
      </c>
      <c r="P4" s="57">
        <v>16397.59</v>
      </c>
    </row>
    <row r="5" spans="1:16" ht="12.75">
      <c r="A5" s="19">
        <v>4</v>
      </c>
      <c r="B5" s="33" t="s">
        <v>38</v>
      </c>
      <c r="C5" s="33" t="s">
        <v>65</v>
      </c>
      <c r="D5" s="57">
        <v>23142.051</v>
      </c>
      <c r="E5" s="57">
        <v>23708.554</v>
      </c>
      <c r="F5" s="57">
        <v>24367.4845</v>
      </c>
      <c r="G5" s="57">
        <v>24674.0955</v>
      </c>
      <c r="H5" s="57">
        <v>25288.9355</v>
      </c>
      <c r="I5" s="57">
        <v>25871.4155</v>
      </c>
      <c r="J5" s="57">
        <v>26467.6485</v>
      </c>
      <c r="K5" s="57">
        <v>27079.2525</v>
      </c>
      <c r="L5" s="57">
        <v>27154.894</v>
      </c>
      <c r="M5" s="57">
        <v>26734.214</v>
      </c>
      <c r="N5" s="57">
        <v>27331.256</v>
      </c>
      <c r="O5" s="57">
        <v>28329.9665</v>
      </c>
      <c r="P5" s="57">
        <v>29226.3385</v>
      </c>
    </row>
    <row r="6" spans="1:16" ht="12.75">
      <c r="A6" s="19">
        <v>5</v>
      </c>
      <c r="B6" s="33" t="s">
        <v>2</v>
      </c>
      <c r="C6" s="33" t="s">
        <v>65</v>
      </c>
      <c r="D6" s="57">
        <v>11512.919</v>
      </c>
      <c r="E6" s="57">
        <v>11345.123</v>
      </c>
      <c r="F6" s="57">
        <v>11133.4095</v>
      </c>
      <c r="G6" s="57">
        <v>11775.8935</v>
      </c>
      <c r="H6" s="57">
        <v>11726.797</v>
      </c>
      <c r="I6" s="57">
        <v>11559.077</v>
      </c>
      <c r="J6" s="57">
        <v>11386.393</v>
      </c>
      <c r="K6" s="57">
        <v>10909.485</v>
      </c>
      <c r="L6" s="57">
        <v>10986.5955</v>
      </c>
      <c r="M6" s="57">
        <v>10947.227</v>
      </c>
      <c r="N6" s="57">
        <v>10892.0495</v>
      </c>
      <c r="O6" s="57">
        <v>10835.175</v>
      </c>
      <c r="P6" s="57">
        <v>10676.3585</v>
      </c>
    </row>
    <row r="7" spans="1:16" ht="12.75">
      <c r="A7" s="19">
        <v>6</v>
      </c>
      <c r="B7" s="33" t="s">
        <v>3</v>
      </c>
      <c r="C7" s="33" t="s">
        <v>65</v>
      </c>
      <c r="D7" s="57">
        <v>9387.745</v>
      </c>
      <c r="E7" s="57">
        <v>9301.476</v>
      </c>
      <c r="F7" s="57">
        <v>9259.021</v>
      </c>
      <c r="G7" s="57">
        <v>9846.728</v>
      </c>
      <c r="H7" s="57">
        <v>9945.0995</v>
      </c>
      <c r="I7" s="57">
        <v>9802.8885</v>
      </c>
      <c r="J7" s="57">
        <v>9839.534</v>
      </c>
      <c r="K7" s="57">
        <v>9727.299</v>
      </c>
      <c r="L7" s="57">
        <v>9460.492</v>
      </c>
      <c r="M7" s="57">
        <v>9558.1945</v>
      </c>
      <c r="N7" s="57">
        <v>9581.1465</v>
      </c>
      <c r="O7" s="57">
        <v>9539.463</v>
      </c>
      <c r="P7" s="57">
        <v>9431.7365</v>
      </c>
    </row>
    <row r="8" spans="1:16" ht="12.75">
      <c r="A8" s="19">
        <v>7</v>
      </c>
      <c r="B8" s="33" t="s">
        <v>5</v>
      </c>
      <c r="C8" s="33" t="s">
        <v>65</v>
      </c>
      <c r="D8" s="57">
        <v>63804.0215</v>
      </c>
      <c r="E8" s="57">
        <v>62750.3715</v>
      </c>
      <c r="F8" s="57">
        <v>62666.8525</v>
      </c>
      <c r="G8" s="57">
        <v>62944.6835</v>
      </c>
      <c r="H8" s="57">
        <v>62408.443</v>
      </c>
      <c r="I8" s="57">
        <v>58112.2525</v>
      </c>
      <c r="J8" s="57">
        <v>56230.0585</v>
      </c>
      <c r="K8" s="57">
        <v>54481.943</v>
      </c>
      <c r="L8" s="57">
        <v>53651.746</v>
      </c>
      <c r="M8" s="57">
        <v>53006.532</v>
      </c>
      <c r="N8" s="57">
        <v>52478.36</v>
      </c>
      <c r="O8" s="57">
        <v>52730.1665</v>
      </c>
      <c r="P8" s="57">
        <v>52570.1525</v>
      </c>
    </row>
    <row r="9" spans="1:16" ht="12.75">
      <c r="A9" s="19">
        <v>8</v>
      </c>
      <c r="B9" s="33" t="s">
        <v>4</v>
      </c>
      <c r="C9" s="33" t="s">
        <v>65</v>
      </c>
      <c r="D9" s="57">
        <v>138798.3265</v>
      </c>
      <c r="E9" s="57">
        <v>136564.6</v>
      </c>
      <c r="F9" s="57">
        <v>133773.337</v>
      </c>
      <c r="G9" s="57">
        <v>129199.2725</v>
      </c>
      <c r="H9" s="57">
        <v>122075.583</v>
      </c>
      <c r="I9" s="57">
        <v>107901.5825</v>
      </c>
      <c r="J9" s="57">
        <v>94829.8965</v>
      </c>
      <c r="K9" s="57">
        <v>87788.3455</v>
      </c>
      <c r="L9" s="57">
        <v>84030.06</v>
      </c>
      <c r="M9" s="57">
        <v>80072.8585</v>
      </c>
      <c r="N9" s="57">
        <v>77626.16</v>
      </c>
      <c r="O9" s="57">
        <v>76625.331</v>
      </c>
      <c r="P9" s="57">
        <v>72263.5605</v>
      </c>
    </row>
    <row r="10" spans="1:16" ht="12.75">
      <c r="A10" s="19">
        <v>9</v>
      </c>
      <c r="B10" s="33" t="s">
        <v>8</v>
      </c>
      <c r="C10" s="33" t="s">
        <v>65</v>
      </c>
      <c r="D10" s="57">
        <v>100245.956</v>
      </c>
      <c r="E10" s="57">
        <v>99856.994</v>
      </c>
      <c r="F10" s="57">
        <v>98255.51</v>
      </c>
      <c r="G10" s="57">
        <v>97020.2835</v>
      </c>
      <c r="H10" s="57">
        <v>91952.3405</v>
      </c>
      <c r="I10" s="57">
        <v>83928.2805</v>
      </c>
      <c r="J10" s="57">
        <v>79160.232</v>
      </c>
      <c r="K10" s="57">
        <v>75434.775</v>
      </c>
      <c r="L10" s="57">
        <v>74106.1635</v>
      </c>
      <c r="M10" s="57">
        <v>71720.187</v>
      </c>
      <c r="N10" s="57">
        <v>71309.321</v>
      </c>
      <c r="O10" s="57">
        <v>71552.767</v>
      </c>
      <c r="P10" s="57">
        <v>70342.082</v>
      </c>
    </row>
    <row r="11" spans="1:16" ht="12.75">
      <c r="A11" s="19">
        <v>10</v>
      </c>
      <c r="B11" s="33" t="s">
        <v>9</v>
      </c>
      <c r="C11" s="33" t="s">
        <v>65</v>
      </c>
      <c r="D11" s="57">
        <v>365736.182</v>
      </c>
      <c r="E11" s="57">
        <v>367578.259</v>
      </c>
      <c r="F11" s="57">
        <v>361990.5725</v>
      </c>
      <c r="G11" s="57">
        <v>353144.848</v>
      </c>
      <c r="H11" s="57">
        <v>338627.1525</v>
      </c>
      <c r="I11" s="57">
        <v>313727.126</v>
      </c>
      <c r="J11" s="57">
        <v>295956.3525</v>
      </c>
      <c r="K11" s="57">
        <v>280504.144</v>
      </c>
      <c r="L11" s="57">
        <v>271480.3685</v>
      </c>
      <c r="M11" s="57">
        <v>262315.677</v>
      </c>
      <c r="N11" s="57">
        <v>261132.2565</v>
      </c>
      <c r="O11" s="57">
        <v>261483.0495</v>
      </c>
      <c r="P11" s="57">
        <v>256025.653</v>
      </c>
    </row>
    <row r="12" spans="1:16" ht="12.75">
      <c r="A12" s="19">
        <v>11</v>
      </c>
      <c r="B12" s="33" t="s">
        <v>6</v>
      </c>
      <c r="C12" s="33" t="s">
        <v>65</v>
      </c>
      <c r="D12" s="57">
        <v>24505.607</v>
      </c>
      <c r="E12" s="57">
        <v>23794.712</v>
      </c>
      <c r="F12" s="57">
        <v>22714.38</v>
      </c>
      <c r="G12" s="57">
        <v>21586.084</v>
      </c>
      <c r="H12" s="57">
        <v>20413.25</v>
      </c>
      <c r="I12" s="57">
        <v>19371.746</v>
      </c>
      <c r="J12" s="57">
        <v>17718.701</v>
      </c>
      <c r="K12" s="57">
        <v>16468.782</v>
      </c>
      <c r="L12" s="57">
        <v>16181.569</v>
      </c>
      <c r="M12" s="57">
        <v>15753.89</v>
      </c>
      <c r="N12" s="57">
        <v>15456.97</v>
      </c>
      <c r="O12" s="57">
        <v>15174.896</v>
      </c>
      <c r="P12" s="57">
        <v>14904.242</v>
      </c>
    </row>
    <row r="13" spans="1:16" ht="12.75">
      <c r="A13" s="19">
        <v>12</v>
      </c>
      <c r="B13" s="33" t="s">
        <v>7</v>
      </c>
      <c r="C13" s="33" t="s">
        <v>65</v>
      </c>
      <c r="D13" s="57">
        <v>179340.0075</v>
      </c>
      <c r="E13" s="57">
        <v>178804.566</v>
      </c>
      <c r="F13" s="57">
        <v>176855.1235</v>
      </c>
      <c r="G13" s="57">
        <v>173578.253</v>
      </c>
      <c r="H13" s="57">
        <v>169790.0815</v>
      </c>
      <c r="I13" s="57">
        <v>156037.772</v>
      </c>
      <c r="J13" s="57">
        <v>140566.1485</v>
      </c>
      <c r="K13" s="57">
        <v>134357.591</v>
      </c>
      <c r="L13" s="57">
        <v>131405.866</v>
      </c>
      <c r="M13" s="57">
        <v>128984.7955</v>
      </c>
      <c r="N13" s="57">
        <v>127086.321</v>
      </c>
      <c r="O13" s="57">
        <v>125092.6705</v>
      </c>
      <c r="P13" s="57">
        <v>122813.7875</v>
      </c>
    </row>
    <row r="14" spans="1:16" ht="12.75">
      <c r="A14" s="19">
        <v>13</v>
      </c>
      <c r="B14" s="33" t="s">
        <v>10</v>
      </c>
      <c r="C14" s="33" t="s">
        <v>65</v>
      </c>
      <c r="D14" s="57">
        <v>54858.2295</v>
      </c>
      <c r="E14" s="57">
        <v>54812.0105</v>
      </c>
      <c r="F14" s="57">
        <v>53921.2065</v>
      </c>
      <c r="G14" s="57">
        <v>53248.914</v>
      </c>
      <c r="H14" s="57">
        <v>52084.8065</v>
      </c>
      <c r="I14" s="57">
        <v>46949.8865</v>
      </c>
      <c r="J14" s="57">
        <v>43063.0315</v>
      </c>
      <c r="K14" s="57">
        <v>40161.6975</v>
      </c>
      <c r="L14" s="57">
        <v>38723.1315</v>
      </c>
      <c r="M14" s="57">
        <v>37032.6895</v>
      </c>
      <c r="N14" s="57">
        <v>35903.165</v>
      </c>
      <c r="O14" s="57">
        <v>34991.675</v>
      </c>
      <c r="P14" s="57">
        <v>32912.58</v>
      </c>
    </row>
    <row r="15" spans="1:16" ht="12.75">
      <c r="A15" s="19">
        <v>14</v>
      </c>
      <c r="B15" s="33" t="s">
        <v>11</v>
      </c>
      <c r="C15" s="33" t="s">
        <v>65</v>
      </c>
      <c r="D15" s="57">
        <v>31764.0755</v>
      </c>
      <c r="E15" s="57">
        <v>32391.1215</v>
      </c>
      <c r="F15" s="57">
        <v>32619.9615</v>
      </c>
      <c r="G15" s="57">
        <v>33656.5215</v>
      </c>
      <c r="H15" s="57">
        <v>32890.073</v>
      </c>
      <c r="I15" s="57">
        <v>30283.465</v>
      </c>
      <c r="J15" s="57">
        <v>28928.8265</v>
      </c>
      <c r="K15" s="57">
        <v>27762.3165</v>
      </c>
      <c r="L15" s="57">
        <v>27391.65</v>
      </c>
      <c r="M15" s="57">
        <v>26703.969</v>
      </c>
      <c r="N15" s="57">
        <v>26302.356</v>
      </c>
      <c r="O15" s="57">
        <v>26195.1925</v>
      </c>
      <c r="P15" s="57">
        <v>25849.5025</v>
      </c>
    </row>
    <row r="16" spans="1:16" ht="25.5">
      <c r="A16" s="19">
        <v>15</v>
      </c>
      <c r="B16" s="33" t="s">
        <v>12</v>
      </c>
      <c r="C16" s="33" t="s">
        <v>65</v>
      </c>
      <c r="D16" s="57">
        <v>190868.821</v>
      </c>
      <c r="E16" s="57">
        <v>195337.969</v>
      </c>
      <c r="F16" s="57">
        <v>194797.4965</v>
      </c>
      <c r="G16" s="57">
        <v>191098.141</v>
      </c>
      <c r="H16" s="57">
        <v>184939.7925</v>
      </c>
      <c r="I16" s="57">
        <v>169669.108</v>
      </c>
      <c r="J16" s="57">
        <v>159461.324</v>
      </c>
      <c r="K16" s="57">
        <v>150901.5695</v>
      </c>
      <c r="L16" s="57">
        <v>147314.518</v>
      </c>
      <c r="M16" s="57">
        <v>143917.847</v>
      </c>
      <c r="N16" s="57">
        <v>143961.7965</v>
      </c>
      <c r="O16" s="57">
        <v>143170.041</v>
      </c>
      <c r="P16" s="57">
        <v>138292.335</v>
      </c>
    </row>
    <row r="17" spans="1:16" ht="12.75">
      <c r="A17" s="19">
        <v>16</v>
      </c>
      <c r="B17" s="33" t="s">
        <v>13</v>
      </c>
      <c r="C17" s="33" t="s">
        <v>65</v>
      </c>
      <c r="D17" s="57">
        <v>112591.842</v>
      </c>
      <c r="E17" s="57">
        <v>111588.7335</v>
      </c>
      <c r="F17" s="57">
        <v>107938.428</v>
      </c>
      <c r="G17" s="57">
        <v>104019.819</v>
      </c>
      <c r="H17" s="57">
        <v>98777.9765</v>
      </c>
      <c r="I17" s="57">
        <v>90073.0255</v>
      </c>
      <c r="J17" s="57">
        <v>82744.7355</v>
      </c>
      <c r="K17" s="57">
        <v>78664.064</v>
      </c>
      <c r="L17" s="57">
        <v>76019.533</v>
      </c>
      <c r="M17" s="57">
        <v>73016.306</v>
      </c>
      <c r="N17" s="57">
        <v>71635.159</v>
      </c>
      <c r="O17" s="57">
        <v>69910.578</v>
      </c>
      <c r="P17" s="57">
        <v>67628.2185</v>
      </c>
    </row>
    <row r="18" spans="1:16" ht="12.75">
      <c r="A18" s="19">
        <v>17</v>
      </c>
      <c r="B18" s="33" t="s">
        <v>14</v>
      </c>
      <c r="C18" s="33" t="s">
        <v>65</v>
      </c>
      <c r="D18" s="57">
        <v>200517.624</v>
      </c>
      <c r="E18" s="57">
        <v>190032.894</v>
      </c>
      <c r="F18" s="57">
        <v>177171.858</v>
      </c>
      <c r="G18" s="57">
        <v>157880.304</v>
      </c>
      <c r="H18" s="57">
        <v>141125.688</v>
      </c>
      <c r="I18" s="57">
        <v>122261.904</v>
      </c>
      <c r="J18" s="57">
        <v>105851.25</v>
      </c>
      <c r="K18" s="57">
        <v>94320.666</v>
      </c>
      <c r="L18" s="57">
        <v>88810.29</v>
      </c>
      <c r="M18" s="57">
        <v>87684.12</v>
      </c>
      <c r="N18" s="57">
        <v>87219.684</v>
      </c>
      <c r="O18" s="57">
        <v>85791.456</v>
      </c>
      <c r="P18" s="57">
        <v>84387.672</v>
      </c>
    </row>
    <row r="19" spans="1:16" ht="12.75">
      <c r="A19" s="19">
        <v>18</v>
      </c>
      <c r="B19" s="33" t="s">
        <v>16</v>
      </c>
      <c r="C19" s="33" t="s">
        <v>65</v>
      </c>
      <c r="D19" s="57">
        <v>40876.943</v>
      </c>
      <c r="E19" s="57">
        <v>40630.3155</v>
      </c>
      <c r="F19" s="57">
        <v>41345.4755</v>
      </c>
      <c r="G19" s="57">
        <v>41605.6145</v>
      </c>
      <c r="H19" s="57">
        <v>41857.8975</v>
      </c>
      <c r="I19" s="57">
        <v>42460.4925</v>
      </c>
      <c r="J19" s="57">
        <v>42300.4585</v>
      </c>
      <c r="K19" s="57">
        <v>42344.724</v>
      </c>
      <c r="L19" s="57">
        <v>42468.493</v>
      </c>
      <c r="M19" s="57">
        <v>42305.2955</v>
      </c>
      <c r="N19" s="57">
        <v>41905.8785</v>
      </c>
      <c r="O19" s="57">
        <v>42080.771</v>
      </c>
      <c r="P19" s="57">
        <v>40520.4755</v>
      </c>
    </row>
    <row r="20" spans="1:16" ht="12.75">
      <c r="A20" s="19">
        <v>19</v>
      </c>
      <c r="B20" s="33" t="s">
        <v>17</v>
      </c>
      <c r="C20" s="33" t="s">
        <v>65</v>
      </c>
      <c r="D20" s="57">
        <v>62713.308</v>
      </c>
      <c r="E20" s="57">
        <v>60989.737</v>
      </c>
      <c r="F20" s="57">
        <v>59594.765</v>
      </c>
      <c r="G20" s="57">
        <v>57474.609</v>
      </c>
      <c r="H20" s="57">
        <v>54993.12</v>
      </c>
      <c r="I20" s="57">
        <v>52497.782</v>
      </c>
      <c r="J20" s="57">
        <v>50089.315</v>
      </c>
      <c r="K20" s="57">
        <v>48918.445</v>
      </c>
      <c r="L20" s="57">
        <v>46468.431</v>
      </c>
      <c r="M20" s="57">
        <v>47040.017</v>
      </c>
      <c r="N20" s="57">
        <v>46881.383</v>
      </c>
      <c r="O20" s="57">
        <v>47748.834</v>
      </c>
      <c r="P20" s="57">
        <v>48276.355</v>
      </c>
    </row>
    <row r="21" spans="1:16" ht="12.75">
      <c r="A21" s="19">
        <v>20</v>
      </c>
      <c r="B21" s="33" t="s">
        <v>18</v>
      </c>
      <c r="C21" s="33" t="s">
        <v>65</v>
      </c>
      <c r="D21" s="57">
        <v>53058.534</v>
      </c>
      <c r="E21" s="57">
        <v>52108.422</v>
      </c>
      <c r="F21" s="57">
        <v>50416.798</v>
      </c>
      <c r="G21" s="57">
        <v>48176.642</v>
      </c>
      <c r="H21" s="57">
        <v>46703.274</v>
      </c>
      <c r="I21" s="57">
        <v>43898.082</v>
      </c>
      <c r="J21" s="57">
        <v>40807.594</v>
      </c>
      <c r="K21" s="57">
        <v>38993.228</v>
      </c>
      <c r="L21" s="57">
        <v>37891.96</v>
      </c>
      <c r="M21" s="57">
        <v>36638.704</v>
      </c>
      <c r="N21" s="57">
        <v>36178.184</v>
      </c>
      <c r="O21" s="57">
        <v>35650.834</v>
      </c>
      <c r="P21" s="57">
        <v>35344.75</v>
      </c>
    </row>
    <row r="22" spans="1:16" ht="12.75">
      <c r="A22" s="19">
        <v>21</v>
      </c>
      <c r="B22" s="33" t="s">
        <v>15</v>
      </c>
      <c r="C22" s="33" t="s">
        <v>65</v>
      </c>
      <c r="D22" s="57">
        <v>270039.716</v>
      </c>
      <c r="E22" s="57">
        <v>270467.9285</v>
      </c>
      <c r="F22" s="57">
        <v>269913.965</v>
      </c>
      <c r="G22" s="57">
        <v>265639.6315</v>
      </c>
      <c r="H22" s="57">
        <v>261949.6695</v>
      </c>
      <c r="I22" s="57">
        <v>256536.242</v>
      </c>
      <c r="J22" s="57">
        <v>249675.364</v>
      </c>
      <c r="K22" s="57">
        <v>240603.871</v>
      </c>
      <c r="L22" s="57">
        <v>236265.989</v>
      </c>
      <c r="M22" s="57">
        <v>229578.59</v>
      </c>
      <c r="N22" s="57">
        <v>224327.8895</v>
      </c>
      <c r="O22" s="57">
        <v>222259.9345</v>
      </c>
      <c r="P22" s="57">
        <v>217159.835</v>
      </c>
    </row>
    <row r="23" spans="1:16" ht="12.75">
      <c r="A23" s="19">
        <v>22</v>
      </c>
      <c r="B23" s="33" t="s">
        <v>40</v>
      </c>
      <c r="C23" s="33" t="s">
        <v>65</v>
      </c>
      <c r="D23" s="57">
        <v>74642.1975</v>
      </c>
      <c r="E23" s="57">
        <v>72033.9585</v>
      </c>
      <c r="F23" s="57">
        <v>70986.0405</v>
      </c>
      <c r="G23" s="57">
        <v>68704.653</v>
      </c>
      <c r="H23" s="57">
        <v>67353.4425</v>
      </c>
      <c r="I23" s="57">
        <v>67483.6275</v>
      </c>
      <c r="J23" s="57">
        <v>66168.642</v>
      </c>
      <c r="K23" s="57">
        <v>63675.0525</v>
      </c>
      <c r="L23" s="57">
        <v>62758.731</v>
      </c>
      <c r="M23" s="57">
        <v>61716.6765</v>
      </c>
      <c r="N23" s="57">
        <v>62751.3525</v>
      </c>
      <c r="O23" s="57">
        <v>62920.728</v>
      </c>
      <c r="P23" s="57">
        <v>63146.364</v>
      </c>
    </row>
    <row r="24" spans="1:16" ht="12.75">
      <c r="A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>
      <c r="A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4:16" ht="12.75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4:16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4:16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4:16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4:16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4:16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4:16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4:16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4:16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4:16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L1">
      <selection activeCell="P1" sqref="P1:AN16384"/>
    </sheetView>
  </sheetViews>
  <sheetFormatPr defaultColWidth="11.421875" defaultRowHeight="12.75"/>
  <cols>
    <col min="2" max="2" width="34.7109375" style="0" customWidth="1"/>
    <col min="3" max="15" width="13.8515625" style="0" customWidth="1"/>
  </cols>
  <sheetData>
    <row r="1" spans="1:15" ht="12.75">
      <c r="A1" s="22" t="s">
        <v>54</v>
      </c>
      <c r="B1" s="22" t="s">
        <v>56</v>
      </c>
      <c r="C1" s="44" t="s">
        <v>44</v>
      </c>
      <c r="D1" s="44" t="s">
        <v>45</v>
      </c>
      <c r="E1" s="44" t="s">
        <v>46</v>
      </c>
      <c r="F1" s="44" t="s">
        <v>47</v>
      </c>
      <c r="G1" s="44" t="s">
        <v>48</v>
      </c>
      <c r="H1" s="44" t="s">
        <v>49</v>
      </c>
      <c r="I1" s="44" t="s">
        <v>50</v>
      </c>
      <c r="J1" s="44" t="s">
        <v>51</v>
      </c>
      <c r="K1" s="44" t="s">
        <v>52</v>
      </c>
      <c r="L1" s="44" t="s">
        <v>53</v>
      </c>
      <c r="M1" s="44" t="s">
        <v>60</v>
      </c>
      <c r="N1" s="44" t="s">
        <v>61</v>
      </c>
      <c r="O1" s="44" t="s">
        <v>62</v>
      </c>
    </row>
    <row r="2" spans="1:15" ht="12.75">
      <c r="A2" s="23">
        <v>1</v>
      </c>
      <c r="B2" s="24" t="s">
        <v>0</v>
      </c>
      <c r="C2" s="18">
        <f>VLOOKUP(1,'tableau entrée'!$A$1:$V$23,4,FALSE)</f>
        <v>112186.333</v>
      </c>
      <c r="D2" s="18">
        <f>VLOOKUP(1,'tableau entrée'!$A$1:$V$23,5,FALSE)</f>
        <v>113520.6885</v>
      </c>
      <c r="E2" s="18">
        <f>VLOOKUP(1,'tableau entrée'!$A$1:$V$23,6,FALSE)</f>
        <v>117389.6145</v>
      </c>
      <c r="F2" s="18">
        <f>VLOOKUP(1,'tableau entrée'!$A$1:$V$23,7,FALSE)</f>
        <v>127013.264</v>
      </c>
      <c r="G2" s="18">
        <f>VLOOKUP(1,'tableau entrée'!$A$1:$V$23,8,FALSE)</f>
        <v>133707.3025</v>
      </c>
      <c r="H2" s="18">
        <f>VLOOKUP(1,'tableau entrée'!$A$1:$V$23,9,FALSE)</f>
        <v>132752.2955</v>
      </c>
      <c r="I2" s="18">
        <f>VLOOKUP(1,'tableau entrée'!$A$1:$V$23,10,FALSE)</f>
        <v>136796.8455</v>
      </c>
      <c r="J2" s="18">
        <f>VLOOKUP(1,'tableau entrée'!$A$1:$V$23,11,FALSE)</f>
        <v>140711.416</v>
      </c>
      <c r="K2" s="18">
        <f>VLOOKUP(1,'tableau entrée'!$A$1:$V$23,12,FALSE)</f>
        <v>144241.7015</v>
      </c>
      <c r="L2" s="18">
        <f>VLOOKUP(1,'tableau entrée'!$A$1:$V$23,13,FALSE)</f>
        <v>146977.94</v>
      </c>
      <c r="M2" s="18">
        <f>VLOOKUP(1,'tableau entrée'!$A$1:$V$23,14,FALSE)</f>
        <v>148349.0345</v>
      </c>
      <c r="N2" s="18">
        <f>VLOOKUP(1,'tableau entrée'!$A$1:$V$23,15,FALSE)</f>
        <v>150312.5415</v>
      </c>
      <c r="O2" s="18">
        <f>VLOOKUP(1,'tableau entrée'!$A$1:$V$23,16,FALSE)</f>
        <v>151859.352</v>
      </c>
    </row>
    <row r="3" spans="1:15" ht="12.75">
      <c r="A3" s="23">
        <v>2</v>
      </c>
      <c r="B3" s="24" t="s">
        <v>1</v>
      </c>
      <c r="C3" s="18">
        <f>VLOOKUP(2,'tableau entrée'!$A$1:$V$23,4,FALSE)</f>
        <v>211697.7585</v>
      </c>
      <c r="D3" s="18">
        <f>VLOOKUP(2,'tableau entrée'!$A$1:$V$23,5,FALSE)</f>
        <v>215651.7735</v>
      </c>
      <c r="E3" s="18">
        <f>VLOOKUP(2,'tableau entrée'!$A$1:$V$23,6,FALSE)</f>
        <v>219336.1355</v>
      </c>
      <c r="F3" s="18">
        <f>VLOOKUP(2,'tableau entrée'!$A$1:$V$23,7,FALSE)</f>
        <v>228538.2525</v>
      </c>
      <c r="G3" s="18">
        <f>VLOOKUP(2,'tableau entrée'!$A$1:$V$23,8,FALSE)</f>
        <v>235841.878</v>
      </c>
      <c r="H3" s="18">
        <f>VLOOKUP(2,'tableau entrée'!$A$1:$V$23,9,FALSE)</f>
        <v>231288.675</v>
      </c>
      <c r="I3" s="18">
        <f>VLOOKUP(2,'tableau entrée'!$A$1:$V$23,10,FALSE)</f>
        <v>229595.507</v>
      </c>
      <c r="J3" s="18">
        <f>VLOOKUP(2,'tableau entrée'!$A$1:$V$23,11,FALSE)</f>
        <v>227255.391</v>
      </c>
      <c r="K3" s="18">
        <f>VLOOKUP(2,'tableau entrée'!$A$1:$V$23,12,FALSE)</f>
        <v>225654.791</v>
      </c>
      <c r="L3" s="18">
        <f>VLOOKUP(2,'tableau entrée'!$A$1:$V$23,13,FALSE)</f>
        <v>224254.88</v>
      </c>
      <c r="M3" s="18">
        <f>VLOOKUP(2,'tableau entrée'!$A$1:$V$23,14,FALSE)</f>
        <v>223066.6915</v>
      </c>
      <c r="N3" s="18">
        <f>VLOOKUP(2,'tableau entrée'!$A$1:$V$23,15,FALSE)</f>
        <v>223789.6615</v>
      </c>
      <c r="O3" s="18">
        <f>VLOOKUP(2,'tableau entrée'!$A$1:$V$23,16,FALSE)</f>
        <v>221796.4955</v>
      </c>
    </row>
    <row r="4" spans="1:15" ht="12.75">
      <c r="A4" s="23">
        <v>3</v>
      </c>
      <c r="B4" s="24" t="s">
        <v>39</v>
      </c>
      <c r="C4" s="18">
        <f>VLOOKUP(3,'tableau entrée'!$A$1:$V$23,4,FALSE)</f>
        <v>16347.297</v>
      </c>
      <c r="D4" s="18">
        <f>VLOOKUP(3,'tableau entrée'!$A$1:$V$23,5,FALSE)</f>
        <v>16114.173</v>
      </c>
      <c r="E4" s="18">
        <f>VLOOKUP(3,'tableau entrée'!$A$1:$V$23,6,FALSE)</f>
        <v>15509.607</v>
      </c>
      <c r="F4" s="18">
        <f>VLOOKUP(3,'tableau entrée'!$A$1:$V$23,7,FALSE)</f>
        <v>14979.192</v>
      </c>
      <c r="G4" s="18">
        <f>VLOOKUP(3,'tableau entrée'!$A$1:$V$23,8,FALSE)</f>
        <v>14843.917</v>
      </c>
      <c r="H4" s="18">
        <f>VLOOKUP(3,'tableau entrée'!$A$1:$V$23,9,FALSE)</f>
        <v>14847.309</v>
      </c>
      <c r="I4" s="18">
        <f>VLOOKUP(3,'tableau entrée'!$A$1:$V$23,10,FALSE)</f>
        <v>14997.109</v>
      </c>
      <c r="J4" s="18">
        <f>VLOOKUP(3,'tableau entrée'!$A$1:$V$23,11,FALSE)</f>
        <v>14728.775</v>
      </c>
      <c r="K4" s="18">
        <f>VLOOKUP(3,'tableau entrée'!$A$1:$V$23,12,FALSE)</f>
        <v>14821.347</v>
      </c>
      <c r="L4" s="18">
        <f>VLOOKUP(3,'tableau entrée'!$A$1:$V$23,13,FALSE)</f>
        <v>15058.671</v>
      </c>
      <c r="M4" s="18">
        <f>VLOOKUP(3,'tableau entrée'!$A$1:$V$23,14,FALSE)</f>
        <v>15681.956</v>
      </c>
      <c r="N4" s="18">
        <f>VLOOKUP(3,'tableau entrée'!$A$1:$V$23,15,FALSE)</f>
        <v>16293.74</v>
      </c>
      <c r="O4" s="18">
        <f>VLOOKUP(3,'tableau entrée'!$A$1:$V$23,16,FALSE)</f>
        <v>16397.59</v>
      </c>
    </row>
    <row r="5" spans="1:15" ht="12.75">
      <c r="A5" s="23">
        <v>4</v>
      </c>
      <c r="B5" s="24" t="s">
        <v>38</v>
      </c>
      <c r="C5" s="18">
        <f>VLOOKUP(4,'tableau entrée'!$A$1:$V$23,4,FALSE)</f>
        <v>23142.051</v>
      </c>
      <c r="D5" s="18">
        <f>VLOOKUP(4,'tableau entrée'!$A$1:$V$23,5,FALSE)</f>
        <v>23708.554</v>
      </c>
      <c r="E5" s="18">
        <f>VLOOKUP(4,'tableau entrée'!$A$1:$V$23,6,FALSE)</f>
        <v>24367.4845</v>
      </c>
      <c r="F5" s="18">
        <f>VLOOKUP(4,'tableau entrée'!$A$1:$V$23,7,FALSE)</f>
        <v>24674.0955</v>
      </c>
      <c r="G5" s="18">
        <f>VLOOKUP(4,'tableau entrée'!$A$1:$V$23,8,FALSE)</f>
        <v>25288.9355</v>
      </c>
      <c r="H5" s="18">
        <f>VLOOKUP(4,'tableau entrée'!$A$1:$V$23,9,FALSE)</f>
        <v>25871.4155</v>
      </c>
      <c r="I5" s="18">
        <f>VLOOKUP(4,'tableau entrée'!$A$1:$V$23,10,FALSE)</f>
        <v>26467.6485</v>
      </c>
      <c r="J5" s="18">
        <f>VLOOKUP(4,'tableau entrée'!$A$1:$V$23,11,FALSE)</f>
        <v>27079.2525</v>
      </c>
      <c r="K5" s="18">
        <f>VLOOKUP(4,'tableau entrée'!$A$1:$V$23,12,FALSE)</f>
        <v>27154.894</v>
      </c>
      <c r="L5" s="18">
        <f>VLOOKUP(4,'tableau entrée'!$A$1:$V$23,13,FALSE)</f>
        <v>26734.214</v>
      </c>
      <c r="M5" s="18">
        <f>VLOOKUP(4,'tableau entrée'!$A$1:$V$23,14,FALSE)</f>
        <v>27331.256</v>
      </c>
      <c r="N5" s="18">
        <f>VLOOKUP(4,'tableau entrée'!$A$1:$V$23,15,FALSE)</f>
        <v>28329.9665</v>
      </c>
      <c r="O5" s="18">
        <f>VLOOKUP(4,'tableau entrée'!$A$1:$V$23,16,FALSE)</f>
        <v>29226.3385</v>
      </c>
    </row>
    <row r="6" spans="1:15" ht="12.75">
      <c r="A6" s="23">
        <v>5</v>
      </c>
      <c r="B6" s="24" t="s">
        <v>2</v>
      </c>
      <c r="C6" s="18">
        <f>VLOOKUP(5,'tableau entrée'!$A$1:$V$23,4,FALSE)</f>
        <v>11512.919</v>
      </c>
      <c r="D6" s="18">
        <f>VLOOKUP(5,'tableau entrée'!$A$1:$V$23,5,FALSE)</f>
        <v>11345.123</v>
      </c>
      <c r="E6" s="18">
        <f>VLOOKUP(5,'tableau entrée'!$A$1:$V$23,6,FALSE)</f>
        <v>11133.4095</v>
      </c>
      <c r="F6" s="18">
        <f>VLOOKUP(5,'tableau entrée'!$A$1:$V$23,7,FALSE)</f>
        <v>11775.8935</v>
      </c>
      <c r="G6" s="18">
        <f>VLOOKUP(5,'tableau entrée'!$A$1:$V$23,8,FALSE)</f>
        <v>11726.797</v>
      </c>
      <c r="H6" s="18">
        <f>VLOOKUP(5,'tableau entrée'!$A$1:$V$23,9,FALSE)</f>
        <v>11559.077</v>
      </c>
      <c r="I6" s="18">
        <f>VLOOKUP(5,'tableau entrée'!$A$1:$V$23,10,FALSE)</f>
        <v>11386.393</v>
      </c>
      <c r="J6" s="18">
        <f>VLOOKUP(5,'tableau entrée'!$A$1:$V$23,11,FALSE)</f>
        <v>10909.485</v>
      </c>
      <c r="K6" s="18">
        <f>VLOOKUP(5,'tableau entrée'!$A$1:$V$23,12,FALSE)</f>
        <v>10986.5955</v>
      </c>
      <c r="L6" s="18">
        <f>VLOOKUP(5,'tableau entrée'!$A$1:$V$23,13,FALSE)</f>
        <v>10947.227</v>
      </c>
      <c r="M6" s="18">
        <f>VLOOKUP(5,'tableau entrée'!$A$1:$V$23,14,FALSE)</f>
        <v>10892.0495</v>
      </c>
      <c r="N6" s="18">
        <f>VLOOKUP(5,'tableau entrée'!$A$1:$V$23,15,FALSE)</f>
        <v>10835.175</v>
      </c>
      <c r="O6" s="18">
        <f>VLOOKUP(5,'tableau entrée'!$A$1:$V$23,16,FALSE)</f>
        <v>10676.3585</v>
      </c>
    </row>
    <row r="7" spans="1:15" ht="12.75">
      <c r="A7" s="23">
        <v>6</v>
      </c>
      <c r="B7" s="24" t="s">
        <v>3</v>
      </c>
      <c r="C7" s="18">
        <f>VLOOKUP(6,'tableau entrée'!$A$1:$V$23,4,FALSE)</f>
        <v>9387.745</v>
      </c>
      <c r="D7" s="18">
        <f>VLOOKUP(6,'tableau entrée'!$A$1:$V$23,5,FALSE)</f>
        <v>9301.476</v>
      </c>
      <c r="E7" s="18">
        <f>VLOOKUP(6,'tableau entrée'!$A$1:$V$23,6,FALSE)</f>
        <v>9259.021</v>
      </c>
      <c r="F7" s="18">
        <f>VLOOKUP(6,'tableau entrée'!$A$1:$V$23,7,FALSE)</f>
        <v>9846.728</v>
      </c>
      <c r="G7" s="18">
        <f>VLOOKUP(6,'tableau entrée'!$A$1:$V$23,8,FALSE)</f>
        <v>9945.0995</v>
      </c>
      <c r="H7" s="18">
        <f>VLOOKUP(6,'tableau entrée'!$A$1:$V$23,9,FALSE)</f>
        <v>9802.8885</v>
      </c>
      <c r="I7" s="18">
        <f>VLOOKUP(6,'tableau entrée'!$A$1:$V$23,10,FALSE)</f>
        <v>9839.534</v>
      </c>
      <c r="J7" s="18">
        <f>VLOOKUP(6,'tableau entrée'!$A$1:$V$23,11,FALSE)</f>
        <v>9727.299</v>
      </c>
      <c r="K7" s="18">
        <f>VLOOKUP(6,'tableau entrée'!$A$1:$V$23,12,FALSE)</f>
        <v>9460.492</v>
      </c>
      <c r="L7" s="18">
        <f>VLOOKUP(6,'tableau entrée'!$A$1:$V$23,13,FALSE)</f>
        <v>9558.1945</v>
      </c>
      <c r="M7" s="18">
        <f>VLOOKUP(6,'tableau entrée'!$A$1:$V$23,14,FALSE)</f>
        <v>9581.1465</v>
      </c>
      <c r="N7" s="18">
        <f>VLOOKUP(6,'tableau entrée'!$A$1:$V$23,15,FALSE)</f>
        <v>9539.463</v>
      </c>
      <c r="O7" s="18">
        <f>VLOOKUP(6,'tableau entrée'!$A$1:$V$23,16,FALSE)</f>
        <v>9431.7365</v>
      </c>
    </row>
    <row r="8" spans="1:15" ht="12.75">
      <c r="A8" s="23">
        <v>7</v>
      </c>
      <c r="B8" s="24" t="s">
        <v>5</v>
      </c>
      <c r="C8" s="18">
        <f>VLOOKUP(7,'tableau entrée'!$A$1:$V$23,4,FALSE)</f>
        <v>63804.0215</v>
      </c>
      <c r="D8" s="18">
        <f>VLOOKUP(7,'tableau entrée'!$A$1:$V$23,5,FALSE)</f>
        <v>62750.3715</v>
      </c>
      <c r="E8" s="18">
        <f>VLOOKUP(7,'tableau entrée'!$A$1:$V$23,6,FALSE)</f>
        <v>62666.8525</v>
      </c>
      <c r="F8" s="18">
        <f>VLOOKUP(7,'tableau entrée'!$A$1:$V$23,7,FALSE)</f>
        <v>62944.6835</v>
      </c>
      <c r="G8" s="18">
        <f>VLOOKUP(7,'tableau entrée'!$A$1:$V$23,8,FALSE)</f>
        <v>62408.443</v>
      </c>
      <c r="H8" s="18">
        <f>VLOOKUP(7,'tableau entrée'!$A$1:$V$23,9,FALSE)</f>
        <v>58112.2525</v>
      </c>
      <c r="I8" s="18">
        <f>VLOOKUP(7,'tableau entrée'!$A$1:$V$23,10,FALSE)</f>
        <v>56230.0585</v>
      </c>
      <c r="J8" s="18">
        <f>VLOOKUP(7,'tableau entrée'!$A$1:$V$23,11,FALSE)</f>
        <v>54481.943</v>
      </c>
      <c r="K8" s="18">
        <f>VLOOKUP(7,'tableau entrée'!$A$1:$V$23,12,FALSE)</f>
        <v>53651.746</v>
      </c>
      <c r="L8" s="18">
        <f>VLOOKUP(7,'tableau entrée'!$A$1:$V$23,13,FALSE)</f>
        <v>53006.532</v>
      </c>
      <c r="M8" s="18">
        <f>VLOOKUP(7,'tableau entrée'!$A$1:$V$23,14,FALSE)</f>
        <v>52478.36</v>
      </c>
      <c r="N8" s="18">
        <f>VLOOKUP(7,'tableau entrée'!$A$1:$V$23,15,FALSE)</f>
        <v>52730.1665</v>
      </c>
      <c r="O8" s="18">
        <f>VLOOKUP(7,'tableau entrée'!$A$1:$V$23,16,FALSE)</f>
        <v>52570.1525</v>
      </c>
    </row>
    <row r="9" spans="1:15" ht="12.75">
      <c r="A9" s="23">
        <v>8</v>
      </c>
      <c r="B9" s="24" t="s">
        <v>4</v>
      </c>
      <c r="C9" s="18">
        <f>VLOOKUP(8,'tableau entrée'!$A$1:$V$23,4,FALSE)</f>
        <v>138798.3265</v>
      </c>
      <c r="D9" s="18">
        <f>VLOOKUP(8,'tableau entrée'!$A$1:$V$23,5,FALSE)</f>
        <v>136564.6</v>
      </c>
      <c r="E9" s="18">
        <f>VLOOKUP(8,'tableau entrée'!$A$1:$V$23,6,FALSE)</f>
        <v>133773.337</v>
      </c>
      <c r="F9" s="18">
        <f>VLOOKUP(8,'tableau entrée'!$A$1:$V$23,7,FALSE)</f>
        <v>129199.2725</v>
      </c>
      <c r="G9" s="18">
        <f>VLOOKUP(8,'tableau entrée'!$A$1:$V$23,8,FALSE)</f>
        <v>122075.583</v>
      </c>
      <c r="H9" s="18">
        <f>VLOOKUP(8,'tableau entrée'!$A$1:$V$23,9,FALSE)</f>
        <v>107901.5825</v>
      </c>
      <c r="I9" s="18">
        <f>VLOOKUP(8,'tableau entrée'!$A$1:$V$23,10,FALSE)</f>
        <v>94829.8965</v>
      </c>
      <c r="J9" s="18">
        <f>VLOOKUP(8,'tableau entrée'!$A$1:$V$23,11,FALSE)</f>
        <v>87788.3455</v>
      </c>
      <c r="K9" s="18">
        <f>VLOOKUP(8,'tableau entrée'!$A$1:$V$23,12,FALSE)</f>
        <v>84030.06</v>
      </c>
      <c r="L9" s="18">
        <f>VLOOKUP(8,'tableau entrée'!$A$1:$V$23,13,FALSE)</f>
        <v>80072.8585</v>
      </c>
      <c r="M9" s="18">
        <f>VLOOKUP(8,'tableau entrée'!$A$1:$V$23,14,FALSE)</f>
        <v>77626.16</v>
      </c>
      <c r="N9" s="18">
        <f>VLOOKUP(8,'tableau entrée'!$A$1:$V$23,15,FALSE)</f>
        <v>76625.331</v>
      </c>
      <c r="O9" s="18">
        <f>VLOOKUP(8,'tableau entrée'!$A$1:$V$23,16,FALSE)</f>
        <v>72263.5605</v>
      </c>
    </row>
    <row r="10" spans="1:15" ht="12.75">
      <c r="A10" s="23">
        <v>9</v>
      </c>
      <c r="B10" s="24" t="s">
        <v>8</v>
      </c>
      <c r="C10" s="18">
        <f>VLOOKUP(9,'tableau entrée'!$A$1:$V$23,4,FALSE)</f>
        <v>100245.956</v>
      </c>
      <c r="D10" s="18">
        <f>VLOOKUP(9,'tableau entrée'!$A$1:$V$23,5,FALSE)</f>
        <v>99856.994</v>
      </c>
      <c r="E10" s="18">
        <f>VLOOKUP(9,'tableau entrée'!$A$1:$V$23,6,FALSE)</f>
        <v>98255.51</v>
      </c>
      <c r="F10" s="18">
        <f>VLOOKUP(9,'tableau entrée'!$A$1:$V$23,7,FALSE)</f>
        <v>97020.2835</v>
      </c>
      <c r="G10" s="18">
        <f>VLOOKUP(9,'tableau entrée'!$A$1:$V$23,8,FALSE)</f>
        <v>91952.3405</v>
      </c>
      <c r="H10" s="18">
        <f>VLOOKUP(9,'tableau entrée'!$A$1:$V$23,9,FALSE)</f>
        <v>83928.2805</v>
      </c>
      <c r="I10" s="18">
        <f>VLOOKUP(9,'tableau entrée'!$A$1:$V$23,10,FALSE)</f>
        <v>79160.232</v>
      </c>
      <c r="J10" s="18">
        <f>VLOOKUP(9,'tableau entrée'!$A$1:$V$23,11,FALSE)</f>
        <v>75434.775</v>
      </c>
      <c r="K10" s="18">
        <f>VLOOKUP(9,'tableau entrée'!$A$1:$V$23,12,FALSE)</f>
        <v>74106.1635</v>
      </c>
      <c r="L10" s="18">
        <f>VLOOKUP(9,'tableau entrée'!$A$1:$V$23,13,FALSE)</f>
        <v>71720.187</v>
      </c>
      <c r="M10" s="18">
        <f>VLOOKUP(9,'tableau entrée'!$A$1:$V$23,14,FALSE)</f>
        <v>71309.321</v>
      </c>
      <c r="N10" s="18">
        <f>VLOOKUP(9,'tableau entrée'!$A$1:$V$23,15,FALSE)</f>
        <v>71552.767</v>
      </c>
      <c r="O10" s="18">
        <f>VLOOKUP(9,'tableau entrée'!$A$1:$V$23,16,FALSE)</f>
        <v>70342.082</v>
      </c>
    </row>
    <row r="11" spans="1:15" ht="12.75">
      <c r="A11" s="23">
        <v>10</v>
      </c>
      <c r="B11" s="24" t="s">
        <v>9</v>
      </c>
      <c r="C11" s="18">
        <f>VLOOKUP(10,'tableau entrée'!$A$1:$V$23,4,FALSE)</f>
        <v>365736.182</v>
      </c>
      <c r="D11" s="18">
        <f>VLOOKUP(10,'tableau entrée'!$A$1:$V$23,5,FALSE)</f>
        <v>367578.259</v>
      </c>
      <c r="E11" s="18">
        <f>VLOOKUP(10,'tableau entrée'!$A$1:$V$23,6,FALSE)</f>
        <v>361990.5725</v>
      </c>
      <c r="F11" s="18">
        <f>VLOOKUP(10,'tableau entrée'!$A$1:$V$23,7,FALSE)</f>
        <v>353144.848</v>
      </c>
      <c r="G11" s="18">
        <f>VLOOKUP(10,'tableau entrée'!$A$1:$V$23,8,FALSE)</f>
        <v>338627.1525</v>
      </c>
      <c r="H11" s="18">
        <f>VLOOKUP(10,'tableau entrée'!$A$1:$V$23,9,FALSE)</f>
        <v>313727.126</v>
      </c>
      <c r="I11" s="18">
        <f>VLOOKUP(10,'tableau entrée'!$A$1:$V$23,10,FALSE)</f>
        <v>295956.3525</v>
      </c>
      <c r="J11" s="18">
        <f>VLOOKUP(10,'tableau entrée'!$A$1:$V$23,11,FALSE)</f>
        <v>280504.144</v>
      </c>
      <c r="K11" s="18">
        <f>VLOOKUP(10,'tableau entrée'!$A$1:$V$23,12,FALSE)</f>
        <v>271480.3685</v>
      </c>
      <c r="L11" s="18">
        <f>VLOOKUP(10,'tableau entrée'!$A$1:$V$23,13,FALSE)</f>
        <v>262315.677</v>
      </c>
      <c r="M11" s="18">
        <f>VLOOKUP(10,'tableau entrée'!$A$1:$V$23,14,FALSE)</f>
        <v>261132.2565</v>
      </c>
      <c r="N11" s="18">
        <f>VLOOKUP(10,'tableau entrée'!$A$1:$V$23,15,FALSE)</f>
        <v>261483.0495</v>
      </c>
      <c r="O11" s="18">
        <f>VLOOKUP(10,'tableau entrée'!$A$1:$V$23,16,FALSE)</f>
        <v>256025.653</v>
      </c>
    </row>
    <row r="12" spans="1:15" ht="12.75">
      <c r="A12" s="23">
        <v>11</v>
      </c>
      <c r="B12" s="24" t="s">
        <v>6</v>
      </c>
      <c r="C12" s="18">
        <f>VLOOKUP(11,'tableau entrée'!$A$1:$V$23,4,FALSE)</f>
        <v>24505.607</v>
      </c>
      <c r="D12" s="18">
        <f>VLOOKUP(11,'tableau entrée'!$A$1:$V$23,5,FALSE)</f>
        <v>23794.712</v>
      </c>
      <c r="E12" s="18">
        <f>VLOOKUP(11,'tableau entrée'!$A$1:$V$23,6,FALSE)</f>
        <v>22714.38</v>
      </c>
      <c r="F12" s="18">
        <f>VLOOKUP(11,'tableau entrée'!$A$1:$V$23,7,FALSE)</f>
        <v>21586.084</v>
      </c>
      <c r="G12" s="18">
        <f>VLOOKUP(11,'tableau entrée'!$A$1:$V$23,8,FALSE)</f>
        <v>20413.25</v>
      </c>
      <c r="H12" s="18">
        <f>VLOOKUP(11,'tableau entrée'!$A$1:$V$23,9,FALSE)</f>
        <v>19371.746</v>
      </c>
      <c r="I12" s="18">
        <f>VLOOKUP(11,'tableau entrée'!$A$1:$V$23,10,FALSE)</f>
        <v>17718.701</v>
      </c>
      <c r="J12" s="18">
        <f>VLOOKUP(11,'tableau entrée'!$A$1:$V$23,11,FALSE)</f>
        <v>16468.782</v>
      </c>
      <c r="K12" s="18">
        <f>VLOOKUP(11,'tableau entrée'!$A$1:$V$23,12,FALSE)</f>
        <v>16181.569</v>
      </c>
      <c r="L12" s="18">
        <f>VLOOKUP(11,'tableau entrée'!$A$1:$V$23,13,FALSE)</f>
        <v>15753.89</v>
      </c>
      <c r="M12" s="18">
        <f>VLOOKUP(11,'tableau entrée'!$A$1:$V$23,14,FALSE)</f>
        <v>15456.97</v>
      </c>
      <c r="N12" s="18">
        <f>VLOOKUP(11,'tableau entrée'!$A$1:$V$23,15,FALSE)</f>
        <v>15174.896</v>
      </c>
      <c r="O12" s="18">
        <f>VLOOKUP(11,'tableau entrée'!$A$1:$V$23,16,FALSE)</f>
        <v>14904.242</v>
      </c>
    </row>
    <row r="13" spans="1:15" ht="12.75">
      <c r="A13" s="23">
        <v>12</v>
      </c>
      <c r="B13" s="24" t="s">
        <v>7</v>
      </c>
      <c r="C13" s="18">
        <f>VLOOKUP(12,'tableau entrée'!$A$1:$V$23,4,FALSE)</f>
        <v>179340.0075</v>
      </c>
      <c r="D13" s="18">
        <f>VLOOKUP(12,'tableau entrée'!$A$1:$V$23,5,FALSE)</f>
        <v>178804.566</v>
      </c>
      <c r="E13" s="18">
        <f>VLOOKUP(12,'tableau entrée'!$A$1:$V$23,6,FALSE)</f>
        <v>176855.1235</v>
      </c>
      <c r="F13" s="18">
        <f>VLOOKUP(12,'tableau entrée'!$A$1:$V$23,7,FALSE)</f>
        <v>173578.253</v>
      </c>
      <c r="G13" s="18">
        <f>VLOOKUP(12,'tableau entrée'!$A$1:$V$23,8,FALSE)</f>
        <v>169790.0815</v>
      </c>
      <c r="H13" s="18">
        <f>VLOOKUP(12,'tableau entrée'!$A$1:$V$23,9,FALSE)</f>
        <v>156037.772</v>
      </c>
      <c r="I13" s="18">
        <f>VLOOKUP(12,'tableau entrée'!$A$1:$V$23,10,FALSE)</f>
        <v>140566.1485</v>
      </c>
      <c r="J13" s="18">
        <f>VLOOKUP(12,'tableau entrée'!$A$1:$V$23,11,FALSE)</f>
        <v>134357.591</v>
      </c>
      <c r="K13" s="18">
        <f>VLOOKUP(12,'tableau entrée'!$A$1:$V$23,12,FALSE)</f>
        <v>131405.866</v>
      </c>
      <c r="L13" s="18">
        <f>VLOOKUP(12,'tableau entrée'!$A$1:$V$23,13,FALSE)</f>
        <v>128984.7955</v>
      </c>
      <c r="M13" s="18">
        <f>VLOOKUP(12,'tableau entrée'!$A$1:$V$23,14,FALSE)</f>
        <v>127086.321</v>
      </c>
      <c r="N13" s="18">
        <f>VLOOKUP(12,'tableau entrée'!$A$1:$V$23,15,FALSE)</f>
        <v>125092.6705</v>
      </c>
      <c r="O13" s="18">
        <f>VLOOKUP(12,'tableau entrée'!$A$1:$V$23,16,FALSE)</f>
        <v>122813.7875</v>
      </c>
    </row>
    <row r="14" spans="1:15" ht="12.75">
      <c r="A14" s="23">
        <v>13</v>
      </c>
      <c r="B14" s="24" t="s">
        <v>10</v>
      </c>
      <c r="C14" s="18">
        <f>VLOOKUP(13,'tableau entrée'!$A$1:$V$23,4,FALSE)</f>
        <v>54858.2295</v>
      </c>
      <c r="D14" s="18">
        <f>VLOOKUP(13,'tableau entrée'!$A$1:$V$23,5,FALSE)</f>
        <v>54812.0105</v>
      </c>
      <c r="E14" s="18">
        <f>VLOOKUP(13,'tableau entrée'!$A$1:$V$23,6,FALSE)</f>
        <v>53921.2065</v>
      </c>
      <c r="F14" s="18">
        <f>VLOOKUP(13,'tableau entrée'!$A$1:$V$23,7,FALSE)</f>
        <v>53248.914</v>
      </c>
      <c r="G14" s="18">
        <f>VLOOKUP(13,'tableau entrée'!$A$1:$V$23,8,FALSE)</f>
        <v>52084.8065</v>
      </c>
      <c r="H14" s="18">
        <f>VLOOKUP(13,'tableau entrée'!$A$1:$V$23,9,FALSE)</f>
        <v>46949.8865</v>
      </c>
      <c r="I14" s="18">
        <f>VLOOKUP(13,'tableau entrée'!$A$1:$V$23,10,FALSE)</f>
        <v>43063.0315</v>
      </c>
      <c r="J14" s="18">
        <f>VLOOKUP(13,'tableau entrée'!$A$1:$V$23,11,FALSE)</f>
        <v>40161.6975</v>
      </c>
      <c r="K14" s="18">
        <f>VLOOKUP(13,'tableau entrée'!$A$1:$V$23,12,FALSE)</f>
        <v>38723.1315</v>
      </c>
      <c r="L14" s="18">
        <f>VLOOKUP(13,'tableau entrée'!$A$1:$V$23,13,FALSE)</f>
        <v>37032.6895</v>
      </c>
      <c r="M14" s="18">
        <f>VLOOKUP(13,'tableau entrée'!$A$1:$V$23,14,FALSE)</f>
        <v>35903.165</v>
      </c>
      <c r="N14" s="18">
        <f>VLOOKUP(13,'tableau entrée'!$A$1:$V$23,15,FALSE)</f>
        <v>34991.675</v>
      </c>
      <c r="O14" s="18">
        <f>VLOOKUP(13,'tableau entrée'!$A$1:$V$23,16,FALSE)</f>
        <v>32912.58</v>
      </c>
    </row>
    <row r="15" spans="1:15" ht="12.75">
      <c r="A15" s="23">
        <v>14</v>
      </c>
      <c r="B15" s="24" t="s">
        <v>11</v>
      </c>
      <c r="C15" s="18">
        <f>VLOOKUP(14,'tableau entrée'!$A$1:$V$23,4,FALSE)</f>
        <v>31764.0755</v>
      </c>
      <c r="D15" s="18">
        <f>VLOOKUP(14,'tableau entrée'!$A$1:$V$23,5,FALSE)</f>
        <v>32391.1215</v>
      </c>
      <c r="E15" s="18">
        <f>VLOOKUP(14,'tableau entrée'!$A$1:$V$23,6,FALSE)</f>
        <v>32619.9615</v>
      </c>
      <c r="F15" s="18">
        <f>VLOOKUP(14,'tableau entrée'!$A$1:$V$23,7,FALSE)</f>
        <v>33656.5215</v>
      </c>
      <c r="G15" s="18">
        <f>VLOOKUP(14,'tableau entrée'!$A$1:$V$23,8,FALSE)</f>
        <v>32890.073</v>
      </c>
      <c r="H15" s="18">
        <f>VLOOKUP(14,'tableau entrée'!$A$1:$V$23,9,FALSE)</f>
        <v>30283.465</v>
      </c>
      <c r="I15" s="18">
        <f>VLOOKUP(14,'tableau entrée'!$A$1:$V$23,10,FALSE)</f>
        <v>28928.8265</v>
      </c>
      <c r="J15" s="18">
        <f>VLOOKUP(14,'tableau entrée'!$A$1:$V$23,11,FALSE)</f>
        <v>27762.3165</v>
      </c>
      <c r="K15" s="18">
        <f>VLOOKUP(14,'tableau entrée'!$A$1:$V$23,12,FALSE)</f>
        <v>27391.65</v>
      </c>
      <c r="L15" s="18">
        <f>VLOOKUP(14,'tableau entrée'!$A$1:$V$23,13,FALSE)</f>
        <v>26703.969</v>
      </c>
      <c r="M15" s="18">
        <f>VLOOKUP(14,'tableau entrée'!$A$1:$V$23,14,FALSE)</f>
        <v>26302.356</v>
      </c>
      <c r="N15" s="18">
        <f>VLOOKUP(14,'tableau entrée'!$A$1:$V$23,15,FALSE)</f>
        <v>26195.1925</v>
      </c>
      <c r="O15" s="18">
        <f>VLOOKUP(14,'tableau entrée'!$A$1:$V$23,16,FALSE)</f>
        <v>25849.5025</v>
      </c>
    </row>
    <row r="16" spans="1:15" ht="25.5">
      <c r="A16" s="23">
        <v>15</v>
      </c>
      <c r="B16" s="24" t="s">
        <v>12</v>
      </c>
      <c r="C16" s="18">
        <f>VLOOKUP(15,'tableau entrée'!$A$1:$V$23,4,FALSE)</f>
        <v>190868.821</v>
      </c>
      <c r="D16" s="18">
        <f>VLOOKUP(15,'tableau entrée'!$A$1:$V$23,5,FALSE)</f>
        <v>195337.969</v>
      </c>
      <c r="E16" s="18">
        <f>VLOOKUP(15,'tableau entrée'!$A$1:$V$23,6,FALSE)</f>
        <v>194797.4965</v>
      </c>
      <c r="F16" s="18">
        <f>VLOOKUP(15,'tableau entrée'!$A$1:$V$23,7,FALSE)</f>
        <v>191098.141</v>
      </c>
      <c r="G16" s="18">
        <f>VLOOKUP(15,'tableau entrée'!$A$1:$V$23,8,FALSE)</f>
        <v>184939.7925</v>
      </c>
      <c r="H16" s="18">
        <f>VLOOKUP(15,'tableau entrée'!$A$1:$V$23,9,FALSE)</f>
        <v>169669.108</v>
      </c>
      <c r="I16" s="18">
        <f>VLOOKUP(15,'tableau entrée'!$A$1:$V$23,10,FALSE)</f>
        <v>159461.324</v>
      </c>
      <c r="J16" s="18">
        <f>VLOOKUP(15,'tableau entrée'!$A$1:$V$23,11,FALSE)</f>
        <v>150901.5695</v>
      </c>
      <c r="K16" s="18">
        <f>VLOOKUP(15,'tableau entrée'!$A$1:$V$23,12,FALSE)</f>
        <v>147314.518</v>
      </c>
      <c r="L16" s="18">
        <f>VLOOKUP(15,'tableau entrée'!$A$1:$V$23,13,FALSE)</f>
        <v>143917.847</v>
      </c>
      <c r="M16" s="18">
        <f>VLOOKUP(15,'tableau entrée'!$A$1:$V$23,14,FALSE)</f>
        <v>143961.7965</v>
      </c>
      <c r="N16" s="18">
        <f>VLOOKUP(15,'tableau entrée'!$A$1:$V$23,15,FALSE)</f>
        <v>143170.041</v>
      </c>
      <c r="O16" s="18">
        <f>VLOOKUP(15,'tableau entrée'!$A$1:$V$23,16,FALSE)</f>
        <v>138292.335</v>
      </c>
    </row>
    <row r="17" spans="1:15" ht="12.75">
      <c r="A17" s="23">
        <v>16</v>
      </c>
      <c r="B17" s="24" t="s">
        <v>13</v>
      </c>
      <c r="C17" s="18">
        <f>VLOOKUP(16,'tableau entrée'!$A$1:$V$23,4,FALSE)</f>
        <v>112591.842</v>
      </c>
      <c r="D17" s="18">
        <f>VLOOKUP(16,'tableau entrée'!$A$1:$V$23,5,FALSE)</f>
        <v>111588.7335</v>
      </c>
      <c r="E17" s="18">
        <f>VLOOKUP(16,'tableau entrée'!$A$1:$V$23,6,FALSE)</f>
        <v>107938.428</v>
      </c>
      <c r="F17" s="18">
        <f>VLOOKUP(16,'tableau entrée'!$A$1:$V$23,7,FALSE)</f>
        <v>104019.819</v>
      </c>
      <c r="G17" s="18">
        <f>VLOOKUP(16,'tableau entrée'!$A$1:$V$23,8,FALSE)</f>
        <v>98777.9765</v>
      </c>
      <c r="H17" s="18">
        <f>VLOOKUP(16,'tableau entrée'!$A$1:$V$23,9,FALSE)</f>
        <v>90073.0255</v>
      </c>
      <c r="I17" s="18">
        <f>VLOOKUP(16,'tableau entrée'!$A$1:$V$23,10,FALSE)</f>
        <v>82744.7355</v>
      </c>
      <c r="J17" s="18">
        <f>VLOOKUP(16,'tableau entrée'!$A$1:$V$23,11,FALSE)</f>
        <v>78664.064</v>
      </c>
      <c r="K17" s="18">
        <f>VLOOKUP(16,'tableau entrée'!$A$1:$V$23,12,FALSE)</f>
        <v>76019.533</v>
      </c>
      <c r="L17" s="18">
        <f>VLOOKUP(16,'tableau entrée'!$A$1:$V$23,13,FALSE)</f>
        <v>73016.306</v>
      </c>
      <c r="M17" s="18">
        <f>VLOOKUP(16,'tableau entrée'!$A$1:$V$23,14,FALSE)</f>
        <v>71635.159</v>
      </c>
      <c r="N17" s="18">
        <f>VLOOKUP(16,'tableau entrée'!$A$1:$V$23,15,FALSE)</f>
        <v>69910.578</v>
      </c>
      <c r="O17" s="18">
        <f>VLOOKUP(16,'tableau entrée'!$A$1:$V$23,16,FALSE)</f>
        <v>67628.2185</v>
      </c>
    </row>
    <row r="18" spans="1:15" ht="12.75">
      <c r="A18" s="23">
        <v>17</v>
      </c>
      <c r="B18" s="24" t="s">
        <v>14</v>
      </c>
      <c r="C18" s="18">
        <f>VLOOKUP(17,'tableau entrée'!$A$1:$V$23,4,FALSE)</f>
        <v>200517.624</v>
      </c>
      <c r="D18" s="18">
        <f>VLOOKUP(17,'tableau entrée'!$A$1:$V$23,5,FALSE)</f>
        <v>190032.894</v>
      </c>
      <c r="E18" s="18">
        <f>VLOOKUP(17,'tableau entrée'!$A$1:$V$23,6,FALSE)</f>
        <v>177171.858</v>
      </c>
      <c r="F18" s="18">
        <f>VLOOKUP(17,'tableau entrée'!$A$1:$V$23,7,FALSE)</f>
        <v>157880.304</v>
      </c>
      <c r="G18" s="18">
        <f>VLOOKUP(17,'tableau entrée'!$A$1:$V$23,8,FALSE)</f>
        <v>141125.688</v>
      </c>
      <c r="H18" s="18">
        <f>VLOOKUP(17,'tableau entrée'!$A$1:$V$23,9,FALSE)</f>
        <v>122261.904</v>
      </c>
      <c r="I18" s="18">
        <f>VLOOKUP(17,'tableau entrée'!$A$1:$V$23,10,FALSE)</f>
        <v>105851.25</v>
      </c>
      <c r="J18" s="18">
        <f>VLOOKUP(17,'tableau entrée'!$A$1:$V$23,11,FALSE)</f>
        <v>94320.666</v>
      </c>
      <c r="K18" s="18">
        <f>VLOOKUP(17,'tableau entrée'!$A$1:$V$23,12,FALSE)</f>
        <v>88810.29</v>
      </c>
      <c r="L18" s="18">
        <f>VLOOKUP(17,'tableau entrée'!$A$1:$V$23,13,FALSE)</f>
        <v>87684.12</v>
      </c>
      <c r="M18" s="18">
        <f>VLOOKUP(17,'tableau entrée'!$A$1:$V$23,14,FALSE)</f>
        <v>87219.684</v>
      </c>
      <c r="N18" s="18">
        <f>VLOOKUP(17,'tableau entrée'!$A$1:$V$23,15,FALSE)</f>
        <v>85791.456</v>
      </c>
      <c r="O18" s="18">
        <f>VLOOKUP(17,'tableau entrée'!$A$1:$V$23,16,FALSE)</f>
        <v>84387.672</v>
      </c>
    </row>
    <row r="19" spans="1:15" ht="12.75">
      <c r="A19" s="23">
        <v>18</v>
      </c>
      <c r="B19" s="24" t="s">
        <v>16</v>
      </c>
      <c r="C19" s="18">
        <f>VLOOKUP(18,'tableau entrée'!$A$1:$V$23,4,FALSE)</f>
        <v>40876.943</v>
      </c>
      <c r="D19" s="18">
        <f>VLOOKUP(18,'tableau entrée'!$A$1:$V$23,5,FALSE)</f>
        <v>40630.3155</v>
      </c>
      <c r="E19" s="18">
        <f>VLOOKUP(18,'tableau entrée'!$A$1:$V$23,6,FALSE)</f>
        <v>41345.4755</v>
      </c>
      <c r="F19" s="18">
        <f>VLOOKUP(18,'tableau entrée'!$A$1:$V$23,7,FALSE)</f>
        <v>41605.6145</v>
      </c>
      <c r="G19" s="18">
        <f>VLOOKUP(18,'tableau entrée'!$A$1:$V$23,8,FALSE)</f>
        <v>41857.8975</v>
      </c>
      <c r="H19" s="18">
        <f>VLOOKUP(18,'tableau entrée'!$A$1:$V$23,9,FALSE)</f>
        <v>42460.4925</v>
      </c>
      <c r="I19" s="18">
        <f>VLOOKUP(18,'tableau entrée'!$A$1:$V$23,10,FALSE)</f>
        <v>42300.4585</v>
      </c>
      <c r="J19" s="18">
        <f>VLOOKUP(18,'tableau entrée'!$A$1:$V$23,11,FALSE)</f>
        <v>42344.724</v>
      </c>
      <c r="K19" s="18">
        <f>VLOOKUP(18,'tableau entrée'!$A$1:$V$23,12,FALSE)</f>
        <v>42468.493</v>
      </c>
      <c r="L19" s="18">
        <f>VLOOKUP(18,'tableau entrée'!$A$1:$V$23,13,FALSE)</f>
        <v>42305.2955</v>
      </c>
      <c r="M19" s="18">
        <f>VLOOKUP(18,'tableau entrée'!$A$1:$V$23,14,FALSE)</f>
        <v>41905.8785</v>
      </c>
      <c r="N19" s="18">
        <f>VLOOKUP(18,'tableau entrée'!$A$1:$V$23,15,FALSE)</f>
        <v>42080.771</v>
      </c>
      <c r="O19" s="18">
        <f>VLOOKUP(18,'tableau entrée'!$A$1:$V$23,16,FALSE)</f>
        <v>40520.4755</v>
      </c>
    </row>
    <row r="20" spans="1:15" ht="12.75">
      <c r="A20" s="23">
        <v>19</v>
      </c>
      <c r="B20" s="24" t="s">
        <v>17</v>
      </c>
      <c r="C20" s="18">
        <f>VLOOKUP(19,'tableau entrée'!$A$1:$V$23,4,FALSE)</f>
        <v>62713.308</v>
      </c>
      <c r="D20" s="18">
        <f>VLOOKUP(19,'tableau entrée'!$A$1:$V$23,5,FALSE)</f>
        <v>60989.737</v>
      </c>
      <c r="E20" s="18">
        <f>VLOOKUP(19,'tableau entrée'!$A$1:$V$23,6,FALSE)</f>
        <v>59594.765</v>
      </c>
      <c r="F20" s="18">
        <f>VLOOKUP(19,'tableau entrée'!$A$1:$V$23,7,FALSE)</f>
        <v>57474.609</v>
      </c>
      <c r="G20" s="18">
        <f>VLOOKUP(19,'tableau entrée'!$A$1:$V$23,8,FALSE)</f>
        <v>54993.12</v>
      </c>
      <c r="H20" s="18">
        <f>VLOOKUP(19,'tableau entrée'!$A$1:$V$23,9,FALSE)</f>
        <v>52497.782</v>
      </c>
      <c r="I20" s="18">
        <f>VLOOKUP(19,'tableau entrée'!$A$1:$V$23,10,FALSE)</f>
        <v>50089.315</v>
      </c>
      <c r="J20" s="18">
        <f>VLOOKUP(19,'tableau entrée'!$A$1:$V$23,11,FALSE)</f>
        <v>48918.445</v>
      </c>
      <c r="K20" s="18">
        <f>VLOOKUP(19,'tableau entrée'!$A$1:$V$23,12,FALSE)</f>
        <v>46468.431</v>
      </c>
      <c r="L20" s="18">
        <f>VLOOKUP(19,'tableau entrée'!$A$1:$V$23,13,FALSE)</f>
        <v>47040.017</v>
      </c>
      <c r="M20" s="18">
        <f>VLOOKUP(19,'tableau entrée'!$A$1:$V$23,14,FALSE)</f>
        <v>46881.383</v>
      </c>
      <c r="N20" s="18">
        <f>VLOOKUP(19,'tableau entrée'!$A$1:$V$23,15,FALSE)</f>
        <v>47748.834</v>
      </c>
      <c r="O20" s="18">
        <f>VLOOKUP(19,'tableau entrée'!$A$1:$V$23,16,FALSE)</f>
        <v>48276.355</v>
      </c>
    </row>
    <row r="21" spans="1:15" ht="12.75">
      <c r="A21" s="23">
        <v>20</v>
      </c>
      <c r="B21" s="24" t="s">
        <v>18</v>
      </c>
      <c r="C21" s="18">
        <f>VLOOKUP(20,'tableau entrée'!$A$1:$V$23,4,FALSE)</f>
        <v>53058.534</v>
      </c>
      <c r="D21" s="18">
        <f>VLOOKUP(20,'tableau entrée'!$A$1:$V$23,5,FALSE)</f>
        <v>52108.422</v>
      </c>
      <c r="E21" s="18">
        <f>VLOOKUP(20,'tableau entrée'!$A$1:$V$23,6,FALSE)</f>
        <v>50416.798</v>
      </c>
      <c r="F21" s="18">
        <f>VLOOKUP(20,'tableau entrée'!$A$1:$V$23,7,FALSE)</f>
        <v>48176.642</v>
      </c>
      <c r="G21" s="18">
        <f>VLOOKUP(20,'tableau entrée'!$A$1:$V$23,8,FALSE)</f>
        <v>46703.274</v>
      </c>
      <c r="H21" s="18">
        <f>VLOOKUP(20,'tableau entrée'!$A$1:$V$23,9,FALSE)</f>
        <v>43898.082</v>
      </c>
      <c r="I21" s="18">
        <f>VLOOKUP(20,'tableau entrée'!$A$1:$V$23,10,FALSE)</f>
        <v>40807.594</v>
      </c>
      <c r="J21" s="18">
        <f>VLOOKUP(20,'tableau entrée'!$A$1:$V$23,11,FALSE)</f>
        <v>38993.228</v>
      </c>
      <c r="K21" s="18">
        <f>VLOOKUP(20,'tableau entrée'!$A$1:$V$23,12,FALSE)</f>
        <v>37891.96</v>
      </c>
      <c r="L21" s="18">
        <f>VLOOKUP(20,'tableau entrée'!$A$1:$V$23,13,FALSE)</f>
        <v>36638.704</v>
      </c>
      <c r="M21" s="18">
        <f>VLOOKUP(20,'tableau entrée'!$A$1:$V$23,14,FALSE)</f>
        <v>36178.184</v>
      </c>
      <c r="N21" s="18">
        <f>VLOOKUP(20,'tableau entrée'!$A$1:$V$23,15,FALSE)</f>
        <v>35650.834</v>
      </c>
      <c r="O21" s="18">
        <f>VLOOKUP(20,'tableau entrée'!$A$1:$V$23,16,FALSE)</f>
        <v>35344.75</v>
      </c>
    </row>
    <row r="22" spans="1:15" ht="12.75">
      <c r="A22" s="23">
        <v>21</v>
      </c>
      <c r="B22" s="24" t="s">
        <v>15</v>
      </c>
      <c r="C22" s="18">
        <f>VLOOKUP(21,'tableau entrée'!$A$1:$V$23,4,FALSE)</f>
        <v>270039.716</v>
      </c>
      <c r="D22" s="18">
        <f>VLOOKUP(21,'tableau entrée'!$A$1:$V$23,5,FALSE)</f>
        <v>270467.9285</v>
      </c>
      <c r="E22" s="18">
        <f>VLOOKUP(21,'tableau entrée'!$A$1:$V$23,6,FALSE)</f>
        <v>269913.965</v>
      </c>
      <c r="F22" s="18">
        <f>VLOOKUP(21,'tableau entrée'!$A$1:$V$23,7,FALSE)</f>
        <v>265639.6315</v>
      </c>
      <c r="G22" s="18">
        <f>VLOOKUP(21,'tableau entrée'!$A$1:$V$23,8,FALSE)</f>
        <v>261949.6695</v>
      </c>
      <c r="H22" s="18">
        <f>VLOOKUP(21,'tableau entrée'!$A$1:$V$23,9,FALSE)</f>
        <v>256536.242</v>
      </c>
      <c r="I22" s="18">
        <f>VLOOKUP(21,'tableau entrée'!$A$1:$V$23,10,FALSE)</f>
        <v>249675.364</v>
      </c>
      <c r="J22" s="18">
        <f>VLOOKUP(21,'tableau entrée'!$A$1:$V$23,11,FALSE)</f>
        <v>240603.871</v>
      </c>
      <c r="K22" s="18">
        <f>VLOOKUP(21,'tableau entrée'!$A$1:$V$23,12,FALSE)</f>
        <v>236265.989</v>
      </c>
      <c r="L22" s="18">
        <f>VLOOKUP(21,'tableau entrée'!$A$1:$V$23,13,FALSE)</f>
        <v>229578.59</v>
      </c>
      <c r="M22" s="18">
        <f>VLOOKUP(21,'tableau entrée'!$A$1:$V$23,14,FALSE)</f>
        <v>224327.8895</v>
      </c>
      <c r="N22" s="18">
        <f>VLOOKUP(21,'tableau entrée'!$A$1:$V$23,15,FALSE)</f>
        <v>222259.9345</v>
      </c>
      <c r="O22" s="18">
        <f>VLOOKUP(21,'tableau entrée'!$A$1:$V$23,16,FALSE)</f>
        <v>217159.835</v>
      </c>
    </row>
    <row r="23" spans="1:15" ht="12.75">
      <c r="A23" s="23">
        <v>22</v>
      </c>
      <c r="B23" s="24" t="s">
        <v>40</v>
      </c>
      <c r="C23" s="18">
        <f>VLOOKUP(22,'tableau entrée'!$A$1:$V$23,4,FALSE)</f>
        <v>74642.1975</v>
      </c>
      <c r="D23" s="18">
        <f>VLOOKUP(22,'tableau entrée'!$A$1:$V$23,5,FALSE)</f>
        <v>72033.9585</v>
      </c>
      <c r="E23" s="18">
        <f>VLOOKUP(22,'tableau entrée'!$A$1:$V$23,6,FALSE)</f>
        <v>70986.0405</v>
      </c>
      <c r="F23" s="18">
        <f>VLOOKUP(22,'tableau entrée'!$A$1:$V$23,7,FALSE)</f>
        <v>68704.653</v>
      </c>
      <c r="G23" s="18">
        <f>VLOOKUP(22,'tableau entrée'!$A$1:$V$23,8,FALSE)</f>
        <v>67353.4425</v>
      </c>
      <c r="H23" s="18">
        <f>VLOOKUP(22,'tableau entrée'!$A$1:$V$23,9,FALSE)</f>
        <v>67483.6275</v>
      </c>
      <c r="I23" s="18">
        <f>VLOOKUP(22,'tableau entrée'!$A$1:$V$23,10,FALSE)</f>
        <v>66168.642</v>
      </c>
      <c r="J23" s="18">
        <f>VLOOKUP(22,'tableau entrée'!$A$1:$V$23,11,FALSE)</f>
        <v>63675.0525</v>
      </c>
      <c r="K23" s="18">
        <f>VLOOKUP(22,'tableau entrée'!$A$1:$V$23,12,FALSE)</f>
        <v>62758.731</v>
      </c>
      <c r="L23" s="18">
        <f>VLOOKUP(22,'tableau entrée'!$A$1:$V$23,13,FALSE)</f>
        <v>61716.6765</v>
      </c>
      <c r="M23" s="18">
        <f>VLOOKUP(22,'tableau entrée'!$A$1:$V$23,14,FALSE)</f>
        <v>62751.3525</v>
      </c>
      <c r="N23" s="18">
        <f>VLOOKUP(22,'tableau entrée'!$A$1:$V$23,15,FALSE)</f>
        <v>62920.728</v>
      </c>
      <c r="O23" s="18">
        <f>VLOOKUP(22,'tableau entrée'!$A$1:$V$23,16,FALSE)</f>
        <v>63146.364</v>
      </c>
    </row>
    <row r="24" spans="3:15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3:15" ht="12.7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2.75">
      <c r="B26" s="28" t="s">
        <v>56</v>
      </c>
      <c r="C26" s="44" t="s">
        <v>44</v>
      </c>
      <c r="D26" s="44" t="s">
        <v>45</v>
      </c>
      <c r="E26" s="44" t="s">
        <v>46</v>
      </c>
      <c r="F26" s="44" t="s">
        <v>47</v>
      </c>
      <c r="G26" s="44" t="s">
        <v>48</v>
      </c>
      <c r="H26" s="44" t="s">
        <v>49</v>
      </c>
      <c r="I26" s="44" t="s">
        <v>50</v>
      </c>
      <c r="J26" s="44" t="s">
        <v>51</v>
      </c>
      <c r="K26" s="44" t="s">
        <v>52</v>
      </c>
      <c r="L26" s="44" t="s">
        <v>53</v>
      </c>
      <c r="M26" s="44" t="s">
        <v>60</v>
      </c>
      <c r="N26" s="44" t="s">
        <v>61</v>
      </c>
      <c r="O26" s="44" t="s">
        <v>62</v>
      </c>
    </row>
    <row r="27" spans="2:15" ht="12.75">
      <c r="B27" s="29" t="s">
        <v>0</v>
      </c>
      <c r="C27" s="45">
        <f aca="true" t="shared" si="0" ref="C27:O36">IF(ISERROR(C2),0,C2)</f>
        <v>112186.333</v>
      </c>
      <c r="D27" s="45">
        <f t="shared" si="0"/>
        <v>113520.6885</v>
      </c>
      <c r="E27" s="45">
        <f t="shared" si="0"/>
        <v>117389.6145</v>
      </c>
      <c r="F27" s="45">
        <f t="shared" si="0"/>
        <v>127013.264</v>
      </c>
      <c r="G27" s="45">
        <f t="shared" si="0"/>
        <v>133707.3025</v>
      </c>
      <c r="H27" s="45">
        <f t="shared" si="0"/>
        <v>132752.2955</v>
      </c>
      <c r="I27" s="45">
        <f t="shared" si="0"/>
        <v>136796.8455</v>
      </c>
      <c r="J27" s="45">
        <f t="shared" si="0"/>
        <v>140711.416</v>
      </c>
      <c r="K27" s="45">
        <f t="shared" si="0"/>
        <v>144241.7015</v>
      </c>
      <c r="L27" s="45">
        <f t="shared" si="0"/>
        <v>146977.94</v>
      </c>
      <c r="M27" s="45">
        <f t="shared" si="0"/>
        <v>148349.0345</v>
      </c>
      <c r="N27" s="45">
        <f t="shared" si="0"/>
        <v>150312.5415</v>
      </c>
      <c r="O27" s="45">
        <f t="shared" si="0"/>
        <v>151859.352</v>
      </c>
    </row>
    <row r="28" spans="2:15" ht="12.75">
      <c r="B28" s="29" t="s">
        <v>1</v>
      </c>
      <c r="C28" s="45">
        <f t="shared" si="0"/>
        <v>211697.7585</v>
      </c>
      <c r="D28" s="45">
        <f t="shared" si="0"/>
        <v>215651.7735</v>
      </c>
      <c r="E28" s="45">
        <f t="shared" si="0"/>
        <v>219336.1355</v>
      </c>
      <c r="F28" s="45">
        <f t="shared" si="0"/>
        <v>228538.2525</v>
      </c>
      <c r="G28" s="45">
        <f t="shared" si="0"/>
        <v>235841.878</v>
      </c>
      <c r="H28" s="45">
        <f t="shared" si="0"/>
        <v>231288.675</v>
      </c>
      <c r="I28" s="45">
        <f t="shared" si="0"/>
        <v>229595.507</v>
      </c>
      <c r="J28" s="45">
        <f t="shared" si="0"/>
        <v>227255.391</v>
      </c>
      <c r="K28" s="45">
        <f t="shared" si="0"/>
        <v>225654.791</v>
      </c>
      <c r="L28" s="45">
        <f t="shared" si="0"/>
        <v>224254.88</v>
      </c>
      <c r="M28" s="45">
        <f t="shared" si="0"/>
        <v>223066.6915</v>
      </c>
      <c r="N28" s="45">
        <f t="shared" si="0"/>
        <v>223789.6615</v>
      </c>
      <c r="O28" s="45">
        <f t="shared" si="0"/>
        <v>221796.4955</v>
      </c>
    </row>
    <row r="29" spans="2:15" ht="12.75">
      <c r="B29" s="29" t="s">
        <v>39</v>
      </c>
      <c r="C29" s="45">
        <f t="shared" si="0"/>
        <v>16347.297</v>
      </c>
      <c r="D29" s="45">
        <f t="shared" si="0"/>
        <v>16114.173</v>
      </c>
      <c r="E29" s="45">
        <f t="shared" si="0"/>
        <v>15509.607</v>
      </c>
      <c r="F29" s="45">
        <f t="shared" si="0"/>
        <v>14979.192</v>
      </c>
      <c r="G29" s="45">
        <f t="shared" si="0"/>
        <v>14843.917</v>
      </c>
      <c r="H29" s="45">
        <f t="shared" si="0"/>
        <v>14847.309</v>
      </c>
      <c r="I29" s="45">
        <f t="shared" si="0"/>
        <v>14997.109</v>
      </c>
      <c r="J29" s="45">
        <f t="shared" si="0"/>
        <v>14728.775</v>
      </c>
      <c r="K29" s="45">
        <f t="shared" si="0"/>
        <v>14821.347</v>
      </c>
      <c r="L29" s="45">
        <f t="shared" si="0"/>
        <v>15058.671</v>
      </c>
      <c r="M29" s="45">
        <f t="shared" si="0"/>
        <v>15681.956</v>
      </c>
      <c r="N29" s="45">
        <f t="shared" si="0"/>
        <v>16293.74</v>
      </c>
      <c r="O29" s="45">
        <f t="shared" si="0"/>
        <v>16397.59</v>
      </c>
    </row>
    <row r="30" spans="2:15" ht="12.75">
      <c r="B30" s="29" t="s">
        <v>38</v>
      </c>
      <c r="C30" s="45">
        <f t="shared" si="0"/>
        <v>23142.051</v>
      </c>
      <c r="D30" s="45">
        <f t="shared" si="0"/>
        <v>23708.554</v>
      </c>
      <c r="E30" s="45">
        <f t="shared" si="0"/>
        <v>24367.4845</v>
      </c>
      <c r="F30" s="45">
        <f t="shared" si="0"/>
        <v>24674.0955</v>
      </c>
      <c r="G30" s="45">
        <f t="shared" si="0"/>
        <v>25288.9355</v>
      </c>
      <c r="H30" s="45">
        <f t="shared" si="0"/>
        <v>25871.4155</v>
      </c>
      <c r="I30" s="45">
        <f t="shared" si="0"/>
        <v>26467.6485</v>
      </c>
      <c r="J30" s="45">
        <f t="shared" si="0"/>
        <v>27079.2525</v>
      </c>
      <c r="K30" s="45">
        <f t="shared" si="0"/>
        <v>27154.894</v>
      </c>
      <c r="L30" s="45">
        <f t="shared" si="0"/>
        <v>26734.214</v>
      </c>
      <c r="M30" s="45">
        <f t="shared" si="0"/>
        <v>27331.256</v>
      </c>
      <c r="N30" s="45">
        <f t="shared" si="0"/>
        <v>28329.9665</v>
      </c>
      <c r="O30" s="45">
        <f t="shared" si="0"/>
        <v>29226.3385</v>
      </c>
    </row>
    <row r="31" spans="2:15" ht="12.75">
      <c r="B31" s="29" t="s">
        <v>2</v>
      </c>
      <c r="C31" s="45">
        <f t="shared" si="0"/>
        <v>11512.919</v>
      </c>
      <c r="D31" s="45">
        <f t="shared" si="0"/>
        <v>11345.123</v>
      </c>
      <c r="E31" s="45">
        <f t="shared" si="0"/>
        <v>11133.4095</v>
      </c>
      <c r="F31" s="45">
        <f t="shared" si="0"/>
        <v>11775.8935</v>
      </c>
      <c r="G31" s="45">
        <f t="shared" si="0"/>
        <v>11726.797</v>
      </c>
      <c r="H31" s="45">
        <f t="shared" si="0"/>
        <v>11559.077</v>
      </c>
      <c r="I31" s="45">
        <f t="shared" si="0"/>
        <v>11386.393</v>
      </c>
      <c r="J31" s="45">
        <f t="shared" si="0"/>
        <v>10909.485</v>
      </c>
      <c r="K31" s="45">
        <f t="shared" si="0"/>
        <v>10986.5955</v>
      </c>
      <c r="L31" s="45">
        <f t="shared" si="0"/>
        <v>10947.227</v>
      </c>
      <c r="M31" s="45">
        <f t="shared" si="0"/>
        <v>10892.0495</v>
      </c>
      <c r="N31" s="45">
        <f t="shared" si="0"/>
        <v>10835.175</v>
      </c>
      <c r="O31" s="45">
        <f t="shared" si="0"/>
        <v>10676.3585</v>
      </c>
    </row>
    <row r="32" spans="2:15" ht="12.75">
      <c r="B32" s="29" t="s">
        <v>3</v>
      </c>
      <c r="C32" s="45">
        <f t="shared" si="0"/>
        <v>9387.745</v>
      </c>
      <c r="D32" s="45">
        <f t="shared" si="0"/>
        <v>9301.476</v>
      </c>
      <c r="E32" s="45">
        <f t="shared" si="0"/>
        <v>9259.021</v>
      </c>
      <c r="F32" s="45">
        <f t="shared" si="0"/>
        <v>9846.728</v>
      </c>
      <c r="G32" s="45">
        <f t="shared" si="0"/>
        <v>9945.0995</v>
      </c>
      <c r="H32" s="45">
        <f t="shared" si="0"/>
        <v>9802.8885</v>
      </c>
      <c r="I32" s="45">
        <f t="shared" si="0"/>
        <v>9839.534</v>
      </c>
      <c r="J32" s="45">
        <f t="shared" si="0"/>
        <v>9727.299</v>
      </c>
      <c r="K32" s="45">
        <f t="shared" si="0"/>
        <v>9460.492</v>
      </c>
      <c r="L32" s="45">
        <f t="shared" si="0"/>
        <v>9558.1945</v>
      </c>
      <c r="M32" s="45">
        <f t="shared" si="0"/>
        <v>9581.1465</v>
      </c>
      <c r="N32" s="45">
        <f t="shared" si="0"/>
        <v>9539.463</v>
      </c>
      <c r="O32" s="45">
        <f t="shared" si="0"/>
        <v>9431.7365</v>
      </c>
    </row>
    <row r="33" spans="2:15" ht="12.75">
      <c r="B33" s="29" t="s">
        <v>5</v>
      </c>
      <c r="C33" s="45">
        <f t="shared" si="0"/>
        <v>63804.0215</v>
      </c>
      <c r="D33" s="45">
        <f t="shared" si="0"/>
        <v>62750.3715</v>
      </c>
      <c r="E33" s="45">
        <f t="shared" si="0"/>
        <v>62666.8525</v>
      </c>
      <c r="F33" s="45">
        <f t="shared" si="0"/>
        <v>62944.6835</v>
      </c>
      <c r="G33" s="45">
        <f t="shared" si="0"/>
        <v>62408.443</v>
      </c>
      <c r="H33" s="45">
        <f t="shared" si="0"/>
        <v>58112.2525</v>
      </c>
      <c r="I33" s="45">
        <f t="shared" si="0"/>
        <v>56230.0585</v>
      </c>
      <c r="J33" s="45">
        <f t="shared" si="0"/>
        <v>54481.943</v>
      </c>
      <c r="K33" s="45">
        <f t="shared" si="0"/>
        <v>53651.746</v>
      </c>
      <c r="L33" s="45">
        <f t="shared" si="0"/>
        <v>53006.532</v>
      </c>
      <c r="M33" s="45">
        <f t="shared" si="0"/>
        <v>52478.36</v>
      </c>
      <c r="N33" s="45">
        <f t="shared" si="0"/>
        <v>52730.1665</v>
      </c>
      <c r="O33" s="45">
        <f t="shared" si="0"/>
        <v>52570.1525</v>
      </c>
    </row>
    <row r="34" spans="2:15" ht="12.75">
      <c r="B34" s="29" t="s">
        <v>4</v>
      </c>
      <c r="C34" s="45">
        <f t="shared" si="0"/>
        <v>138798.3265</v>
      </c>
      <c r="D34" s="45">
        <f t="shared" si="0"/>
        <v>136564.6</v>
      </c>
      <c r="E34" s="45">
        <f t="shared" si="0"/>
        <v>133773.337</v>
      </c>
      <c r="F34" s="45">
        <f t="shared" si="0"/>
        <v>129199.2725</v>
      </c>
      <c r="G34" s="45">
        <f t="shared" si="0"/>
        <v>122075.583</v>
      </c>
      <c r="H34" s="45">
        <f t="shared" si="0"/>
        <v>107901.5825</v>
      </c>
      <c r="I34" s="45">
        <f t="shared" si="0"/>
        <v>94829.8965</v>
      </c>
      <c r="J34" s="45">
        <f t="shared" si="0"/>
        <v>87788.3455</v>
      </c>
      <c r="K34" s="45">
        <f t="shared" si="0"/>
        <v>84030.06</v>
      </c>
      <c r="L34" s="45">
        <f t="shared" si="0"/>
        <v>80072.8585</v>
      </c>
      <c r="M34" s="45">
        <f t="shared" si="0"/>
        <v>77626.16</v>
      </c>
      <c r="N34" s="45">
        <f t="shared" si="0"/>
        <v>76625.331</v>
      </c>
      <c r="O34" s="45">
        <f t="shared" si="0"/>
        <v>72263.5605</v>
      </c>
    </row>
    <row r="35" spans="2:15" ht="12.75">
      <c r="B35" s="29" t="s">
        <v>8</v>
      </c>
      <c r="C35" s="45">
        <f t="shared" si="0"/>
        <v>100245.956</v>
      </c>
      <c r="D35" s="45">
        <f t="shared" si="0"/>
        <v>99856.994</v>
      </c>
      <c r="E35" s="45">
        <f t="shared" si="0"/>
        <v>98255.51</v>
      </c>
      <c r="F35" s="45">
        <f t="shared" si="0"/>
        <v>97020.2835</v>
      </c>
      <c r="G35" s="45">
        <f t="shared" si="0"/>
        <v>91952.3405</v>
      </c>
      <c r="H35" s="45">
        <f t="shared" si="0"/>
        <v>83928.2805</v>
      </c>
      <c r="I35" s="45">
        <f t="shared" si="0"/>
        <v>79160.232</v>
      </c>
      <c r="J35" s="45">
        <f t="shared" si="0"/>
        <v>75434.775</v>
      </c>
      <c r="K35" s="45">
        <f t="shared" si="0"/>
        <v>74106.1635</v>
      </c>
      <c r="L35" s="45">
        <f t="shared" si="0"/>
        <v>71720.187</v>
      </c>
      <c r="M35" s="45">
        <f t="shared" si="0"/>
        <v>71309.321</v>
      </c>
      <c r="N35" s="45">
        <f t="shared" si="0"/>
        <v>71552.767</v>
      </c>
      <c r="O35" s="45">
        <f t="shared" si="0"/>
        <v>70342.082</v>
      </c>
    </row>
    <row r="36" spans="2:15" ht="12.75">
      <c r="B36" s="29" t="s">
        <v>9</v>
      </c>
      <c r="C36" s="45">
        <f t="shared" si="0"/>
        <v>365736.182</v>
      </c>
      <c r="D36" s="45">
        <f t="shared" si="0"/>
        <v>367578.259</v>
      </c>
      <c r="E36" s="45">
        <f t="shared" si="0"/>
        <v>361990.5725</v>
      </c>
      <c r="F36" s="45">
        <f t="shared" si="0"/>
        <v>353144.848</v>
      </c>
      <c r="G36" s="45">
        <f t="shared" si="0"/>
        <v>338627.1525</v>
      </c>
      <c r="H36" s="45">
        <f t="shared" si="0"/>
        <v>313727.126</v>
      </c>
      <c r="I36" s="45">
        <f t="shared" si="0"/>
        <v>295956.3525</v>
      </c>
      <c r="J36" s="45">
        <f t="shared" si="0"/>
        <v>280504.144</v>
      </c>
      <c r="K36" s="45">
        <f t="shared" si="0"/>
        <v>271480.3685</v>
      </c>
      <c r="L36" s="45">
        <f t="shared" si="0"/>
        <v>262315.677</v>
      </c>
      <c r="M36" s="45">
        <f t="shared" si="0"/>
        <v>261132.2565</v>
      </c>
      <c r="N36" s="45">
        <f t="shared" si="0"/>
        <v>261483.0495</v>
      </c>
      <c r="O36" s="45">
        <f>IF(ISERROR(O11),0,O11)</f>
        <v>256025.653</v>
      </c>
    </row>
    <row r="37" spans="2:15" ht="12.75">
      <c r="B37" s="29" t="s">
        <v>6</v>
      </c>
      <c r="C37" s="45">
        <f aca="true" t="shared" si="1" ref="C37:O46">IF(ISERROR(C12),0,C12)</f>
        <v>24505.607</v>
      </c>
      <c r="D37" s="45">
        <f t="shared" si="1"/>
        <v>23794.712</v>
      </c>
      <c r="E37" s="45">
        <f t="shared" si="1"/>
        <v>22714.38</v>
      </c>
      <c r="F37" s="45">
        <f t="shared" si="1"/>
        <v>21586.084</v>
      </c>
      <c r="G37" s="45">
        <f t="shared" si="1"/>
        <v>20413.25</v>
      </c>
      <c r="H37" s="45">
        <f t="shared" si="1"/>
        <v>19371.746</v>
      </c>
      <c r="I37" s="45">
        <f t="shared" si="1"/>
        <v>17718.701</v>
      </c>
      <c r="J37" s="45">
        <f t="shared" si="1"/>
        <v>16468.782</v>
      </c>
      <c r="K37" s="45">
        <f t="shared" si="1"/>
        <v>16181.569</v>
      </c>
      <c r="L37" s="45">
        <f t="shared" si="1"/>
        <v>15753.89</v>
      </c>
      <c r="M37" s="45">
        <f t="shared" si="1"/>
        <v>15456.97</v>
      </c>
      <c r="N37" s="45">
        <f t="shared" si="1"/>
        <v>15174.896</v>
      </c>
      <c r="O37" s="45">
        <f t="shared" si="1"/>
        <v>14904.242</v>
      </c>
    </row>
    <row r="38" spans="2:15" ht="12.75">
      <c r="B38" s="29" t="s">
        <v>7</v>
      </c>
      <c r="C38" s="45">
        <f t="shared" si="1"/>
        <v>179340.0075</v>
      </c>
      <c r="D38" s="45">
        <f t="shared" si="1"/>
        <v>178804.566</v>
      </c>
      <c r="E38" s="45">
        <f t="shared" si="1"/>
        <v>176855.1235</v>
      </c>
      <c r="F38" s="45">
        <f t="shared" si="1"/>
        <v>173578.253</v>
      </c>
      <c r="G38" s="45">
        <f t="shared" si="1"/>
        <v>169790.0815</v>
      </c>
      <c r="H38" s="45">
        <f t="shared" si="1"/>
        <v>156037.772</v>
      </c>
      <c r="I38" s="45">
        <f t="shared" si="1"/>
        <v>140566.1485</v>
      </c>
      <c r="J38" s="45">
        <f t="shared" si="1"/>
        <v>134357.591</v>
      </c>
      <c r="K38" s="45">
        <f t="shared" si="1"/>
        <v>131405.866</v>
      </c>
      <c r="L38" s="45">
        <f t="shared" si="1"/>
        <v>128984.7955</v>
      </c>
      <c r="M38" s="45">
        <f t="shared" si="1"/>
        <v>127086.321</v>
      </c>
      <c r="N38" s="45">
        <f t="shared" si="1"/>
        <v>125092.6705</v>
      </c>
      <c r="O38" s="45">
        <f t="shared" si="1"/>
        <v>122813.7875</v>
      </c>
    </row>
    <row r="39" spans="2:15" ht="12.75">
      <c r="B39" s="29" t="s">
        <v>10</v>
      </c>
      <c r="C39" s="45">
        <f t="shared" si="1"/>
        <v>54858.2295</v>
      </c>
      <c r="D39" s="45">
        <f t="shared" si="1"/>
        <v>54812.0105</v>
      </c>
      <c r="E39" s="45">
        <f t="shared" si="1"/>
        <v>53921.2065</v>
      </c>
      <c r="F39" s="45">
        <f t="shared" si="1"/>
        <v>53248.914</v>
      </c>
      <c r="G39" s="45">
        <f t="shared" si="1"/>
        <v>52084.8065</v>
      </c>
      <c r="H39" s="45">
        <f t="shared" si="1"/>
        <v>46949.8865</v>
      </c>
      <c r="I39" s="45">
        <f t="shared" si="1"/>
        <v>43063.0315</v>
      </c>
      <c r="J39" s="45">
        <f t="shared" si="1"/>
        <v>40161.6975</v>
      </c>
      <c r="K39" s="45">
        <f t="shared" si="1"/>
        <v>38723.1315</v>
      </c>
      <c r="L39" s="45">
        <f t="shared" si="1"/>
        <v>37032.6895</v>
      </c>
      <c r="M39" s="45">
        <f t="shared" si="1"/>
        <v>35903.165</v>
      </c>
      <c r="N39" s="45">
        <f t="shared" si="1"/>
        <v>34991.675</v>
      </c>
      <c r="O39" s="45">
        <f t="shared" si="1"/>
        <v>32912.58</v>
      </c>
    </row>
    <row r="40" spans="2:15" ht="12.75">
      <c r="B40" s="29" t="s">
        <v>11</v>
      </c>
      <c r="C40" s="45">
        <f t="shared" si="1"/>
        <v>31764.0755</v>
      </c>
      <c r="D40" s="45">
        <f t="shared" si="1"/>
        <v>32391.1215</v>
      </c>
      <c r="E40" s="45">
        <f t="shared" si="1"/>
        <v>32619.9615</v>
      </c>
      <c r="F40" s="45">
        <f t="shared" si="1"/>
        <v>33656.5215</v>
      </c>
      <c r="G40" s="45">
        <f t="shared" si="1"/>
        <v>32890.073</v>
      </c>
      <c r="H40" s="45">
        <f t="shared" si="1"/>
        <v>30283.465</v>
      </c>
      <c r="I40" s="45">
        <f t="shared" si="1"/>
        <v>28928.8265</v>
      </c>
      <c r="J40" s="45">
        <f t="shared" si="1"/>
        <v>27762.3165</v>
      </c>
      <c r="K40" s="45">
        <f t="shared" si="1"/>
        <v>27391.65</v>
      </c>
      <c r="L40" s="45">
        <f t="shared" si="1"/>
        <v>26703.969</v>
      </c>
      <c r="M40" s="45">
        <f t="shared" si="1"/>
        <v>26302.356</v>
      </c>
      <c r="N40" s="45">
        <f t="shared" si="1"/>
        <v>26195.1925</v>
      </c>
      <c r="O40" s="45">
        <f t="shared" si="1"/>
        <v>25849.5025</v>
      </c>
    </row>
    <row r="41" spans="2:15" ht="25.5">
      <c r="B41" s="29" t="s">
        <v>12</v>
      </c>
      <c r="C41" s="45">
        <f t="shared" si="1"/>
        <v>190868.821</v>
      </c>
      <c r="D41" s="45">
        <f t="shared" si="1"/>
        <v>195337.969</v>
      </c>
      <c r="E41" s="45">
        <f t="shared" si="1"/>
        <v>194797.4965</v>
      </c>
      <c r="F41" s="45">
        <f t="shared" si="1"/>
        <v>191098.141</v>
      </c>
      <c r="G41" s="45">
        <f t="shared" si="1"/>
        <v>184939.7925</v>
      </c>
      <c r="H41" s="45">
        <f t="shared" si="1"/>
        <v>169669.108</v>
      </c>
      <c r="I41" s="45">
        <f t="shared" si="1"/>
        <v>159461.324</v>
      </c>
      <c r="J41" s="45">
        <f t="shared" si="1"/>
        <v>150901.5695</v>
      </c>
      <c r="K41" s="45">
        <f t="shared" si="1"/>
        <v>147314.518</v>
      </c>
      <c r="L41" s="45">
        <f t="shared" si="1"/>
        <v>143917.847</v>
      </c>
      <c r="M41" s="45">
        <f t="shared" si="1"/>
        <v>143961.7965</v>
      </c>
      <c r="N41" s="45">
        <f t="shared" si="1"/>
        <v>143170.041</v>
      </c>
      <c r="O41" s="45">
        <f t="shared" si="1"/>
        <v>138292.335</v>
      </c>
    </row>
    <row r="42" spans="2:15" ht="12.75">
      <c r="B42" s="29" t="s">
        <v>13</v>
      </c>
      <c r="C42" s="45">
        <f t="shared" si="1"/>
        <v>112591.842</v>
      </c>
      <c r="D42" s="45">
        <f t="shared" si="1"/>
        <v>111588.7335</v>
      </c>
      <c r="E42" s="45">
        <f t="shared" si="1"/>
        <v>107938.428</v>
      </c>
      <c r="F42" s="45">
        <f t="shared" si="1"/>
        <v>104019.819</v>
      </c>
      <c r="G42" s="45">
        <f t="shared" si="1"/>
        <v>98777.9765</v>
      </c>
      <c r="H42" s="45">
        <f t="shared" si="1"/>
        <v>90073.0255</v>
      </c>
      <c r="I42" s="45">
        <f t="shared" si="1"/>
        <v>82744.7355</v>
      </c>
      <c r="J42" s="45">
        <f t="shared" si="1"/>
        <v>78664.064</v>
      </c>
      <c r="K42" s="45">
        <f t="shared" si="1"/>
        <v>76019.533</v>
      </c>
      <c r="L42" s="45">
        <f t="shared" si="1"/>
        <v>73016.306</v>
      </c>
      <c r="M42" s="45">
        <f t="shared" si="1"/>
        <v>71635.159</v>
      </c>
      <c r="N42" s="45">
        <f t="shared" si="1"/>
        <v>69910.578</v>
      </c>
      <c r="O42" s="45">
        <f t="shared" si="1"/>
        <v>67628.2185</v>
      </c>
    </row>
    <row r="43" spans="2:15" ht="12.75">
      <c r="B43" s="29" t="s">
        <v>14</v>
      </c>
      <c r="C43" s="45">
        <f t="shared" si="1"/>
        <v>200517.624</v>
      </c>
      <c r="D43" s="45">
        <f t="shared" si="1"/>
        <v>190032.894</v>
      </c>
      <c r="E43" s="45">
        <f t="shared" si="1"/>
        <v>177171.858</v>
      </c>
      <c r="F43" s="45">
        <f t="shared" si="1"/>
        <v>157880.304</v>
      </c>
      <c r="G43" s="45">
        <f t="shared" si="1"/>
        <v>141125.688</v>
      </c>
      <c r="H43" s="45">
        <f t="shared" si="1"/>
        <v>122261.904</v>
      </c>
      <c r="I43" s="45">
        <f t="shared" si="1"/>
        <v>105851.25</v>
      </c>
      <c r="J43" s="45">
        <f t="shared" si="1"/>
        <v>94320.666</v>
      </c>
      <c r="K43" s="45">
        <f t="shared" si="1"/>
        <v>88810.29</v>
      </c>
      <c r="L43" s="45">
        <f t="shared" si="1"/>
        <v>87684.12</v>
      </c>
      <c r="M43" s="45">
        <f t="shared" si="1"/>
        <v>87219.684</v>
      </c>
      <c r="N43" s="45">
        <f t="shared" si="1"/>
        <v>85791.456</v>
      </c>
      <c r="O43" s="45">
        <f t="shared" si="1"/>
        <v>84387.672</v>
      </c>
    </row>
    <row r="44" spans="2:15" ht="12.75">
      <c r="B44" s="29" t="s">
        <v>16</v>
      </c>
      <c r="C44" s="45">
        <f t="shared" si="1"/>
        <v>40876.943</v>
      </c>
      <c r="D44" s="45">
        <f t="shared" si="1"/>
        <v>40630.3155</v>
      </c>
      <c r="E44" s="45">
        <f t="shared" si="1"/>
        <v>41345.4755</v>
      </c>
      <c r="F44" s="45">
        <f t="shared" si="1"/>
        <v>41605.6145</v>
      </c>
      <c r="G44" s="45">
        <f t="shared" si="1"/>
        <v>41857.8975</v>
      </c>
      <c r="H44" s="45">
        <f t="shared" si="1"/>
        <v>42460.4925</v>
      </c>
      <c r="I44" s="45">
        <f t="shared" si="1"/>
        <v>42300.4585</v>
      </c>
      <c r="J44" s="45">
        <f t="shared" si="1"/>
        <v>42344.724</v>
      </c>
      <c r="K44" s="45">
        <f t="shared" si="1"/>
        <v>42468.493</v>
      </c>
      <c r="L44" s="45">
        <f t="shared" si="1"/>
        <v>42305.2955</v>
      </c>
      <c r="M44" s="45">
        <f t="shared" si="1"/>
        <v>41905.8785</v>
      </c>
      <c r="N44" s="45">
        <f t="shared" si="1"/>
        <v>42080.771</v>
      </c>
      <c r="O44" s="45">
        <f t="shared" si="1"/>
        <v>40520.4755</v>
      </c>
    </row>
    <row r="45" spans="2:15" ht="12.75">
      <c r="B45" s="29" t="s">
        <v>17</v>
      </c>
      <c r="C45" s="45">
        <f t="shared" si="1"/>
        <v>62713.308</v>
      </c>
      <c r="D45" s="45">
        <f t="shared" si="1"/>
        <v>60989.737</v>
      </c>
      <c r="E45" s="45">
        <f t="shared" si="1"/>
        <v>59594.765</v>
      </c>
      <c r="F45" s="45">
        <f t="shared" si="1"/>
        <v>57474.609</v>
      </c>
      <c r="G45" s="45">
        <f t="shared" si="1"/>
        <v>54993.12</v>
      </c>
      <c r="H45" s="45">
        <f t="shared" si="1"/>
        <v>52497.782</v>
      </c>
      <c r="I45" s="45">
        <f t="shared" si="1"/>
        <v>50089.315</v>
      </c>
      <c r="J45" s="45">
        <f t="shared" si="1"/>
        <v>48918.445</v>
      </c>
      <c r="K45" s="45">
        <f t="shared" si="1"/>
        <v>46468.431</v>
      </c>
      <c r="L45" s="45">
        <f t="shared" si="1"/>
        <v>47040.017</v>
      </c>
      <c r="M45" s="45">
        <f t="shared" si="1"/>
        <v>46881.383</v>
      </c>
      <c r="N45" s="45">
        <f t="shared" si="1"/>
        <v>47748.834</v>
      </c>
      <c r="O45" s="45">
        <f t="shared" si="1"/>
        <v>48276.355</v>
      </c>
    </row>
    <row r="46" spans="2:15" ht="12.75">
      <c r="B46" s="29" t="s">
        <v>18</v>
      </c>
      <c r="C46" s="45">
        <f t="shared" si="1"/>
        <v>53058.534</v>
      </c>
      <c r="D46" s="45">
        <f t="shared" si="1"/>
        <v>52108.422</v>
      </c>
      <c r="E46" s="45">
        <f t="shared" si="1"/>
        <v>50416.798</v>
      </c>
      <c r="F46" s="45">
        <f t="shared" si="1"/>
        <v>48176.642</v>
      </c>
      <c r="G46" s="45">
        <f t="shared" si="1"/>
        <v>46703.274</v>
      </c>
      <c r="H46" s="45">
        <f t="shared" si="1"/>
        <v>43898.082</v>
      </c>
      <c r="I46" s="45">
        <f t="shared" si="1"/>
        <v>40807.594</v>
      </c>
      <c r="J46" s="45">
        <f t="shared" si="1"/>
        <v>38993.228</v>
      </c>
      <c r="K46" s="45">
        <f t="shared" si="1"/>
        <v>37891.96</v>
      </c>
      <c r="L46" s="45">
        <f t="shared" si="1"/>
        <v>36638.704</v>
      </c>
      <c r="M46" s="45">
        <f t="shared" si="1"/>
        <v>36178.184</v>
      </c>
      <c r="N46" s="45">
        <f t="shared" si="1"/>
        <v>35650.834</v>
      </c>
      <c r="O46" s="45">
        <f t="shared" si="1"/>
        <v>35344.75</v>
      </c>
    </row>
    <row r="47" spans="2:15" ht="12.75">
      <c r="B47" s="29" t="s">
        <v>15</v>
      </c>
      <c r="C47" s="45">
        <f aca="true" t="shared" si="2" ref="C47:O47">IF(ISERROR(C22),0,C22)</f>
        <v>270039.716</v>
      </c>
      <c r="D47" s="45">
        <f t="shared" si="2"/>
        <v>270467.9285</v>
      </c>
      <c r="E47" s="45">
        <f t="shared" si="2"/>
        <v>269913.965</v>
      </c>
      <c r="F47" s="45">
        <f t="shared" si="2"/>
        <v>265639.6315</v>
      </c>
      <c r="G47" s="45">
        <f t="shared" si="2"/>
        <v>261949.6695</v>
      </c>
      <c r="H47" s="45">
        <f t="shared" si="2"/>
        <v>256536.242</v>
      </c>
      <c r="I47" s="45">
        <f t="shared" si="2"/>
        <v>249675.364</v>
      </c>
      <c r="J47" s="45">
        <f t="shared" si="2"/>
        <v>240603.871</v>
      </c>
      <c r="K47" s="45">
        <f t="shared" si="2"/>
        <v>236265.989</v>
      </c>
      <c r="L47" s="45">
        <f t="shared" si="2"/>
        <v>229578.59</v>
      </c>
      <c r="M47" s="45">
        <f t="shared" si="2"/>
        <v>224327.8895</v>
      </c>
      <c r="N47" s="45">
        <f t="shared" si="2"/>
        <v>222259.9345</v>
      </c>
      <c r="O47" s="45">
        <f t="shared" si="2"/>
        <v>217159.835</v>
      </c>
    </row>
    <row r="48" spans="2:15" ht="13.5" thickBot="1">
      <c r="B48" s="30" t="s">
        <v>40</v>
      </c>
      <c r="C48" s="46">
        <f aca="true" t="shared" si="3" ref="C48:O48">IF(ISERROR(C23),0,C23)</f>
        <v>74642.1975</v>
      </c>
      <c r="D48" s="46">
        <f t="shared" si="3"/>
        <v>72033.9585</v>
      </c>
      <c r="E48" s="46">
        <f t="shared" si="3"/>
        <v>70986.0405</v>
      </c>
      <c r="F48" s="46">
        <f t="shared" si="3"/>
        <v>68704.653</v>
      </c>
      <c r="G48" s="46">
        <f t="shared" si="3"/>
        <v>67353.4425</v>
      </c>
      <c r="H48" s="46">
        <f t="shared" si="3"/>
        <v>67483.6275</v>
      </c>
      <c r="I48" s="46">
        <f t="shared" si="3"/>
        <v>66168.642</v>
      </c>
      <c r="J48" s="46">
        <f t="shared" si="3"/>
        <v>63675.0525</v>
      </c>
      <c r="K48" s="46">
        <f t="shared" si="3"/>
        <v>62758.731</v>
      </c>
      <c r="L48" s="46">
        <f t="shared" si="3"/>
        <v>61716.6765</v>
      </c>
      <c r="M48" s="46">
        <f t="shared" si="3"/>
        <v>62751.3525</v>
      </c>
      <c r="N48" s="46">
        <f t="shared" si="3"/>
        <v>62920.728</v>
      </c>
      <c r="O48" s="46">
        <f t="shared" si="3"/>
        <v>63146.364</v>
      </c>
    </row>
    <row r="49" spans="2:15" ht="13.5" thickTop="1">
      <c r="B49" s="27" t="s">
        <v>57</v>
      </c>
      <c r="C49" s="47">
        <f>SUM(C27:C48)</f>
        <v>2348635.4945</v>
      </c>
      <c r="D49" s="47">
        <f aca="true" t="shared" si="4" ref="D49:O49">SUM(D27:D48)</f>
        <v>2339384.3805000004</v>
      </c>
      <c r="E49" s="47">
        <f t="shared" si="4"/>
        <v>2311957.042</v>
      </c>
      <c r="F49" s="47">
        <f t="shared" si="4"/>
        <v>2275805.6995</v>
      </c>
      <c r="G49" s="47">
        <f t="shared" si="4"/>
        <v>2219296.5200000005</v>
      </c>
      <c r="H49" s="47">
        <f t="shared" si="4"/>
        <v>2087314.035</v>
      </c>
      <c r="I49" s="47">
        <f t="shared" si="4"/>
        <v>1982634.967</v>
      </c>
      <c r="J49" s="47">
        <f t="shared" si="4"/>
        <v>1905792.833</v>
      </c>
      <c r="K49" s="47">
        <f t="shared" si="4"/>
        <v>1867288.3205</v>
      </c>
      <c r="L49" s="47">
        <f t="shared" si="4"/>
        <v>1831019.2810000002</v>
      </c>
      <c r="M49" s="47">
        <f t="shared" si="4"/>
        <v>1817058.3704999997</v>
      </c>
      <c r="N49" s="47">
        <f t="shared" si="4"/>
        <v>1812479.4719999996</v>
      </c>
      <c r="O49" s="47">
        <f t="shared" si="4"/>
        <v>1781825.4359999998</v>
      </c>
    </row>
    <row r="50" spans="2:15" ht="12.75">
      <c r="B50" s="26" t="s">
        <v>58</v>
      </c>
      <c r="C50" s="48">
        <f>SUM(C27:C30)</f>
        <v>363373.4395</v>
      </c>
      <c r="D50" s="48">
        <f aca="true" t="shared" si="5" ref="D50:O50">SUM(D27:D30)</f>
        <v>368995.189</v>
      </c>
      <c r="E50" s="48">
        <f t="shared" si="5"/>
        <v>376602.84150000004</v>
      </c>
      <c r="F50" s="48">
        <f t="shared" si="5"/>
        <v>395204.804</v>
      </c>
      <c r="G50" s="48">
        <f t="shared" si="5"/>
        <v>409682.03300000005</v>
      </c>
      <c r="H50" s="48">
        <f t="shared" si="5"/>
        <v>404759.695</v>
      </c>
      <c r="I50" s="48">
        <f t="shared" si="5"/>
        <v>407857.11000000004</v>
      </c>
      <c r="J50" s="48">
        <f t="shared" si="5"/>
        <v>409774.83450000006</v>
      </c>
      <c r="K50" s="48">
        <f t="shared" si="5"/>
        <v>411872.7335</v>
      </c>
      <c r="L50" s="48">
        <f t="shared" si="5"/>
        <v>413025.70499999996</v>
      </c>
      <c r="M50" s="48">
        <f t="shared" si="5"/>
        <v>414428.938</v>
      </c>
      <c r="N50" s="48">
        <f t="shared" si="5"/>
        <v>418725.90949999995</v>
      </c>
      <c r="O50" s="48">
        <f t="shared" si="5"/>
        <v>419279.77600000007</v>
      </c>
    </row>
    <row r="51" spans="2:15" ht="12.75">
      <c r="B51" s="26" t="s">
        <v>59</v>
      </c>
      <c r="C51" s="48">
        <f>SUM(C31:C48)</f>
        <v>1985262.0549999997</v>
      </c>
      <c r="D51" s="48">
        <f aca="true" t="shared" si="6" ref="D51:O51">SUM(D31:D48)</f>
        <v>1970389.1915</v>
      </c>
      <c r="E51" s="48">
        <f t="shared" si="6"/>
        <v>1935354.2004999998</v>
      </c>
      <c r="F51" s="48">
        <f t="shared" si="6"/>
        <v>1880600.8954999996</v>
      </c>
      <c r="G51" s="48">
        <f t="shared" si="6"/>
        <v>1809614.4870000002</v>
      </c>
      <c r="H51" s="48">
        <f t="shared" si="6"/>
        <v>1682554.3399999999</v>
      </c>
      <c r="I51" s="48">
        <f t="shared" si="6"/>
        <v>1574777.857</v>
      </c>
      <c r="J51" s="48">
        <f t="shared" si="6"/>
        <v>1496017.9985000002</v>
      </c>
      <c r="K51" s="48">
        <f t="shared" si="6"/>
        <v>1455415.5870000003</v>
      </c>
      <c r="L51" s="48">
        <f t="shared" si="6"/>
        <v>1417993.5760000001</v>
      </c>
      <c r="M51" s="48">
        <f t="shared" si="6"/>
        <v>1402629.4324999999</v>
      </c>
      <c r="N51" s="48">
        <f t="shared" si="6"/>
        <v>1393753.5625</v>
      </c>
      <c r="O51" s="48">
        <f t="shared" si="6"/>
        <v>1362545.66</v>
      </c>
    </row>
    <row r="52" spans="3:15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4" spans="2:15" ht="12.75">
      <c r="B54" s="28" t="s">
        <v>56</v>
      </c>
      <c r="C54" s="44" t="s">
        <v>44</v>
      </c>
      <c r="D54" s="44" t="s">
        <v>45</v>
      </c>
      <c r="E54" s="44" t="s">
        <v>46</v>
      </c>
      <c r="F54" s="44" t="s">
        <v>47</v>
      </c>
      <c r="G54" s="44" t="s">
        <v>48</v>
      </c>
      <c r="H54" s="44" t="s">
        <v>49</v>
      </c>
      <c r="I54" s="44" t="s">
        <v>50</v>
      </c>
      <c r="J54" s="44" t="s">
        <v>51</v>
      </c>
      <c r="K54" s="44" t="s">
        <v>52</v>
      </c>
      <c r="L54" s="44" t="s">
        <v>53</v>
      </c>
      <c r="M54" s="44" t="s">
        <v>60</v>
      </c>
      <c r="N54" s="44" t="s">
        <v>61</v>
      </c>
      <c r="O54" s="44" t="s">
        <v>62</v>
      </c>
    </row>
    <row r="55" spans="1:15" ht="12.75">
      <c r="A55" t="s">
        <v>55</v>
      </c>
      <c r="B55" s="29" t="s">
        <v>0</v>
      </c>
      <c r="C55" s="31">
        <f aca="true" t="shared" si="7" ref="C55:O66">C27/C$49</f>
        <v>0.04776660033569121</v>
      </c>
      <c r="D55" s="31">
        <f t="shared" si="7"/>
        <v>0.04852588118748448</v>
      </c>
      <c r="E55" s="31">
        <f t="shared" si="7"/>
        <v>0.050774998136838216</v>
      </c>
      <c r="F55" s="31">
        <f t="shared" si="7"/>
        <v>0.05581024075469409</v>
      </c>
      <c r="G55" s="31">
        <f t="shared" si="7"/>
        <v>0.06024760607473938</v>
      </c>
      <c r="H55" s="31">
        <f t="shared" si="7"/>
        <v>0.06359957978244515</v>
      </c>
      <c r="I55" s="31">
        <f t="shared" si="7"/>
        <v>0.06899749463563254</v>
      </c>
      <c r="J55" s="31">
        <f t="shared" si="7"/>
        <v>0.07383353193667928</v>
      </c>
      <c r="K55" s="31">
        <f t="shared" si="7"/>
        <v>0.0772466147388405</v>
      </c>
      <c r="L55" s="31">
        <f t="shared" si="7"/>
        <v>0.08027110447451372</v>
      </c>
      <c r="M55" s="31">
        <f t="shared" si="7"/>
        <v>0.08164241551534683</v>
      </c>
      <c r="N55" s="31">
        <f t="shared" si="7"/>
        <v>0.08293199664994608</v>
      </c>
      <c r="O55" s="31">
        <f t="shared" si="7"/>
        <v>0.0852268403693391</v>
      </c>
    </row>
    <row r="56" spans="2:15" ht="12.75">
      <c r="B56" s="29" t="s">
        <v>1</v>
      </c>
      <c r="C56" s="31">
        <f aca="true" t="shared" si="8" ref="C56:O56">C28/C$49</f>
        <v>0.09013648946196662</v>
      </c>
      <c r="D56" s="31">
        <f t="shared" si="8"/>
        <v>0.09218312958638648</v>
      </c>
      <c r="E56" s="31">
        <f t="shared" si="8"/>
        <v>0.09487033345146385</v>
      </c>
      <c r="F56" s="31">
        <f t="shared" si="8"/>
        <v>0.10042081033113258</v>
      </c>
      <c r="G56" s="31">
        <f t="shared" si="8"/>
        <v>0.10626875492960262</v>
      </c>
      <c r="H56" s="31">
        <f t="shared" si="8"/>
        <v>0.11080684129065418</v>
      </c>
      <c r="I56" s="31">
        <f t="shared" si="8"/>
        <v>0.11580321684097485</v>
      </c>
      <c r="J56" s="31">
        <f t="shared" si="8"/>
        <v>0.11924454067878215</v>
      </c>
      <c r="K56" s="31">
        <f t="shared" si="8"/>
        <v>0.12084624989223779</v>
      </c>
      <c r="L56" s="31">
        <f t="shared" si="8"/>
        <v>0.12247543339768904</v>
      </c>
      <c r="M56" s="31">
        <f t="shared" si="8"/>
        <v>0.12276253483184404</v>
      </c>
      <c r="N56" s="31">
        <f t="shared" si="8"/>
        <v>0.12347155648226842</v>
      </c>
      <c r="O56" s="31">
        <f t="shared" si="8"/>
        <v>0.12447711825121797</v>
      </c>
    </row>
    <row r="57" spans="2:15" ht="12.75">
      <c r="B57" s="29" t="s">
        <v>39</v>
      </c>
      <c r="C57" s="31">
        <f t="shared" si="7"/>
        <v>0.006960338050873309</v>
      </c>
      <c r="D57" s="31">
        <f t="shared" si="7"/>
        <v>0.006888210904680783</v>
      </c>
      <c r="E57" s="31">
        <f t="shared" si="7"/>
        <v>0.00670843217163894</v>
      </c>
      <c r="F57" s="31">
        <f t="shared" si="7"/>
        <v>0.006581929205683492</v>
      </c>
      <c r="G57" s="31">
        <f t="shared" si="7"/>
        <v>0.00668856859199689</v>
      </c>
      <c r="H57" s="31">
        <f t="shared" si="7"/>
        <v>0.007113117025536601</v>
      </c>
      <c r="I57" s="31">
        <f t="shared" si="7"/>
        <v>0.007564231060996919</v>
      </c>
      <c r="J57" s="31">
        <f t="shared" si="7"/>
        <v>0.007728423963487535</v>
      </c>
      <c r="K57" s="31">
        <f t="shared" si="7"/>
        <v>0.007937363950325207</v>
      </c>
      <c r="L57" s="31">
        <f t="shared" si="7"/>
        <v>0.008224201217463858</v>
      </c>
      <c r="M57" s="31">
        <f t="shared" si="7"/>
        <v>0.0086304084968304</v>
      </c>
      <c r="N57" s="31">
        <f t="shared" si="7"/>
        <v>0.00898975147123763</v>
      </c>
      <c r="O57" s="31">
        <f t="shared" si="7"/>
        <v>0.009202691615409177</v>
      </c>
    </row>
    <row r="58" spans="2:15" ht="12.75">
      <c r="B58" s="29" t="s">
        <v>38</v>
      </c>
      <c r="C58" s="31">
        <f t="shared" si="7"/>
        <v>0.009853402562549069</v>
      </c>
      <c r="D58" s="31">
        <f t="shared" si="7"/>
        <v>0.01013452692837623</v>
      </c>
      <c r="E58" s="31">
        <f t="shared" si="7"/>
        <v>0.010539765253994715</v>
      </c>
      <c r="F58" s="31">
        <f t="shared" si="7"/>
        <v>0.010841916559669816</v>
      </c>
      <c r="G58" s="31">
        <f t="shared" si="7"/>
        <v>0.011395023275213351</v>
      </c>
      <c r="H58" s="31">
        <f t="shared" si="7"/>
        <v>0.01239459662810153</v>
      </c>
      <c r="I58" s="31">
        <f t="shared" si="7"/>
        <v>0.013349733531659235</v>
      </c>
      <c r="J58" s="31">
        <f t="shared" si="7"/>
        <v>0.014208917166181828</v>
      </c>
      <c r="K58" s="31">
        <f t="shared" si="7"/>
        <v>0.014542421597072266</v>
      </c>
      <c r="L58" s="31">
        <f t="shared" si="7"/>
        <v>0.014600727735318696</v>
      </c>
      <c r="M58" s="31">
        <f t="shared" si="7"/>
        <v>0.015041484876723726</v>
      </c>
      <c r="N58" s="31">
        <f t="shared" si="7"/>
        <v>0.01563050337267489</v>
      </c>
      <c r="O58" s="31">
        <f t="shared" si="7"/>
        <v>0.016402470135127203</v>
      </c>
    </row>
    <row r="59" spans="2:15" ht="12.75">
      <c r="B59" s="29" t="s">
        <v>2</v>
      </c>
      <c r="C59" s="31">
        <f t="shared" si="7"/>
        <v>0.004901960745701401</v>
      </c>
      <c r="D59" s="31">
        <f t="shared" si="7"/>
        <v>0.004849619025658019</v>
      </c>
      <c r="E59" s="31">
        <f t="shared" si="7"/>
        <v>0.004815578013667955</v>
      </c>
      <c r="F59" s="31">
        <f t="shared" si="7"/>
        <v>0.005174384396078801</v>
      </c>
      <c r="G59" s="31">
        <f t="shared" si="7"/>
        <v>0.005284015405025732</v>
      </c>
      <c r="H59" s="31">
        <f t="shared" si="7"/>
        <v>0.005537775728126123</v>
      </c>
      <c r="I59" s="31">
        <f t="shared" si="7"/>
        <v>0.0057430607194571895</v>
      </c>
      <c r="J59" s="31">
        <f t="shared" si="7"/>
        <v>0.0057243813761367</v>
      </c>
      <c r="K59" s="31">
        <f t="shared" si="7"/>
        <v>0.005883716713366547</v>
      </c>
      <c r="L59" s="31">
        <f t="shared" si="7"/>
        <v>0.005978761181597847</v>
      </c>
      <c r="M59" s="31">
        <f t="shared" si="7"/>
        <v>0.005994331099557817</v>
      </c>
      <c r="N59" s="31">
        <f t="shared" si="7"/>
        <v>0.005978095292877337</v>
      </c>
      <c r="O59" s="31">
        <f t="shared" si="7"/>
        <v>0.0059918094580394135</v>
      </c>
    </row>
    <row r="60" spans="2:15" ht="12.75">
      <c r="B60" s="29" t="s">
        <v>3</v>
      </c>
      <c r="C60" s="31">
        <f t="shared" si="7"/>
        <v>0.003997105988555518</v>
      </c>
      <c r="D60" s="31">
        <f t="shared" si="7"/>
        <v>0.0039760357799824165</v>
      </c>
      <c r="E60" s="31">
        <f t="shared" si="7"/>
        <v>0.004004841280264584</v>
      </c>
      <c r="F60" s="31">
        <f t="shared" si="7"/>
        <v>0.004326699771497781</v>
      </c>
      <c r="G60" s="31">
        <f t="shared" si="7"/>
        <v>0.004481194563401559</v>
      </c>
      <c r="H60" s="31">
        <f t="shared" si="7"/>
        <v>0.004696412871099197</v>
      </c>
      <c r="I60" s="31">
        <f t="shared" si="7"/>
        <v>0.004962857088558551</v>
      </c>
      <c r="J60" s="31">
        <f t="shared" si="7"/>
        <v>0.0051040694620977205</v>
      </c>
      <c r="K60" s="31">
        <f t="shared" si="7"/>
        <v>0.005066433445835929</v>
      </c>
      <c r="L60" s="31">
        <f t="shared" si="7"/>
        <v>0.005220149563242091</v>
      </c>
      <c r="M60" s="31">
        <f t="shared" si="7"/>
        <v>0.0052728886730058966</v>
      </c>
      <c r="N60" s="31">
        <f t="shared" si="7"/>
        <v>0.005263211610045756</v>
      </c>
      <c r="O60" s="31">
        <f t="shared" si="7"/>
        <v>0.005293299954889634</v>
      </c>
    </row>
    <row r="61" spans="2:15" ht="12.75">
      <c r="B61" s="29" t="s">
        <v>5</v>
      </c>
      <c r="C61" s="31">
        <f t="shared" si="7"/>
        <v>0.027166421375055993</v>
      </c>
      <c r="D61" s="31">
        <f t="shared" si="7"/>
        <v>0.026823454932441784</v>
      </c>
      <c r="E61" s="31">
        <f t="shared" si="7"/>
        <v>0.02710554364184419</v>
      </c>
      <c r="F61" s="31">
        <f t="shared" si="7"/>
        <v>0.02765819749631047</v>
      </c>
      <c r="G61" s="31">
        <f t="shared" si="7"/>
        <v>0.02812082226849073</v>
      </c>
      <c r="H61" s="31">
        <f t="shared" si="7"/>
        <v>0.027840684978674042</v>
      </c>
      <c r="I61" s="31">
        <f t="shared" si="7"/>
        <v>0.02836127650118258</v>
      </c>
      <c r="J61" s="31">
        <f t="shared" si="7"/>
        <v>0.028587547427302136</v>
      </c>
      <c r="K61" s="31">
        <f t="shared" si="7"/>
        <v>0.02873243805521891</v>
      </c>
      <c r="L61" s="31">
        <f t="shared" si="7"/>
        <v>0.02894919379060323</v>
      </c>
      <c r="M61" s="31">
        <f t="shared" si="7"/>
        <v>0.028880943425917318</v>
      </c>
      <c r="N61" s="31">
        <f t="shared" si="7"/>
        <v>0.029092835154604174</v>
      </c>
      <c r="O61" s="31">
        <f t="shared" si="7"/>
        <v>0.029503536899784164</v>
      </c>
    </row>
    <row r="62" spans="2:15" ht="12.75">
      <c r="B62" s="29" t="s">
        <v>4</v>
      </c>
      <c r="C62" s="31">
        <f t="shared" si="7"/>
        <v>0.05909743203023026</v>
      </c>
      <c r="D62" s="31">
        <f t="shared" si="7"/>
        <v>0.05837629811429784</v>
      </c>
      <c r="E62" s="31">
        <f t="shared" si="7"/>
        <v>0.05786151497186858</v>
      </c>
      <c r="F62" s="31">
        <f t="shared" si="7"/>
        <v>0.05677078343216444</v>
      </c>
      <c r="G62" s="31">
        <f t="shared" si="7"/>
        <v>0.05500643194808415</v>
      </c>
      <c r="H62" s="31">
        <f t="shared" si="7"/>
        <v>0.051693985998613766</v>
      </c>
      <c r="I62" s="31">
        <f t="shared" si="7"/>
        <v>0.04783023505506448</v>
      </c>
      <c r="J62" s="31">
        <f t="shared" si="7"/>
        <v>0.046063949858499646</v>
      </c>
      <c r="K62" s="31">
        <f t="shared" si="7"/>
        <v>0.045001116901700236</v>
      </c>
      <c r="L62" s="31">
        <f t="shared" si="7"/>
        <v>0.04373130273989725</v>
      </c>
      <c r="M62" s="31">
        <f t="shared" si="7"/>
        <v>0.04272078501178783</v>
      </c>
      <c r="N62" s="31">
        <f t="shared" si="7"/>
        <v>0.042276523504813535</v>
      </c>
      <c r="O62" s="31">
        <f t="shared" si="7"/>
        <v>0.04055591476021561</v>
      </c>
    </row>
    <row r="63" spans="2:15" ht="12.75">
      <c r="B63" s="29" t="s">
        <v>8</v>
      </c>
      <c r="C63" s="31">
        <f t="shared" si="7"/>
        <v>0.042682636890549644</v>
      </c>
      <c r="D63" s="31">
        <f t="shared" si="7"/>
        <v>0.04268515889580207</v>
      </c>
      <c r="E63" s="31">
        <f t="shared" si="7"/>
        <v>0.04249884760618316</v>
      </c>
      <c r="F63" s="31">
        <f t="shared" si="7"/>
        <v>0.042631180474376876</v>
      </c>
      <c r="G63" s="31">
        <f t="shared" si="7"/>
        <v>0.04143310263920929</v>
      </c>
      <c r="H63" s="31">
        <f t="shared" si="7"/>
        <v>0.04020874630874601</v>
      </c>
      <c r="I63" s="31">
        <f t="shared" si="7"/>
        <v>0.039926780934253545</v>
      </c>
      <c r="J63" s="31">
        <f t="shared" si="7"/>
        <v>0.03958183370920463</v>
      </c>
      <c r="K63" s="31">
        <f t="shared" si="7"/>
        <v>0.03968651369283815</v>
      </c>
      <c r="L63" s="31">
        <f t="shared" si="7"/>
        <v>0.03916954220210639</v>
      </c>
      <c r="M63" s="31">
        <f t="shared" si="7"/>
        <v>0.039244375501474846</v>
      </c>
      <c r="N63" s="31">
        <f t="shared" si="7"/>
        <v>0.03947783580745571</v>
      </c>
      <c r="O63" s="31">
        <f t="shared" si="7"/>
        <v>0.03947753835971169</v>
      </c>
    </row>
    <row r="64" spans="2:15" ht="12.75">
      <c r="B64" s="29" t="s">
        <v>9</v>
      </c>
      <c r="C64" s="31">
        <f t="shared" si="7"/>
        <v>0.1557228368797438</v>
      </c>
      <c r="D64" s="31">
        <f t="shared" si="7"/>
        <v>0.15712606361911202</v>
      </c>
      <c r="E64" s="31">
        <f t="shared" si="7"/>
        <v>0.15657322602622994</v>
      </c>
      <c r="F64" s="31">
        <f t="shared" si="7"/>
        <v>0.15517354934016853</v>
      </c>
      <c r="G64" s="31">
        <f t="shared" si="7"/>
        <v>0.15258310435236475</v>
      </c>
      <c r="H64" s="31">
        <f t="shared" si="7"/>
        <v>0.15030183323612828</v>
      </c>
      <c r="I64" s="31">
        <f t="shared" si="7"/>
        <v>0.14927425240957126</v>
      </c>
      <c r="J64" s="31">
        <f t="shared" si="7"/>
        <v>0.1471850135769715</v>
      </c>
      <c r="K64" s="31">
        <f t="shared" si="7"/>
        <v>0.14538749346823218</v>
      </c>
      <c r="L64" s="31">
        <f t="shared" si="7"/>
        <v>0.14326210527763417</v>
      </c>
      <c r="M64" s="31">
        <f t="shared" si="7"/>
        <v>0.14371153989298882</v>
      </c>
      <c r="N64" s="31">
        <f t="shared" si="7"/>
        <v>0.14426814402011615</v>
      </c>
      <c r="O64" s="31">
        <f t="shared" si="7"/>
        <v>0.14368728149641255</v>
      </c>
    </row>
    <row r="65" spans="2:15" ht="12.75">
      <c r="B65" s="29" t="s">
        <v>6</v>
      </c>
      <c r="C65" s="31">
        <f t="shared" si="7"/>
        <v>0.010433976262977745</v>
      </c>
      <c r="D65" s="31">
        <f t="shared" si="7"/>
        <v>0.010171356275754186</v>
      </c>
      <c r="E65" s="31">
        <f t="shared" si="7"/>
        <v>0.009824741371643532</v>
      </c>
      <c r="F65" s="31">
        <f t="shared" si="7"/>
        <v>0.009485029413865389</v>
      </c>
      <c r="G65" s="31">
        <f t="shared" si="7"/>
        <v>0.00919807236934702</v>
      </c>
      <c r="H65" s="31">
        <f t="shared" si="7"/>
        <v>0.00928070509524457</v>
      </c>
      <c r="I65" s="31">
        <f t="shared" si="7"/>
        <v>0.008936945678311544</v>
      </c>
      <c r="J65" s="31">
        <f t="shared" si="7"/>
        <v>0.008641433483657139</v>
      </c>
      <c r="K65" s="31">
        <f t="shared" si="7"/>
        <v>0.008665811713355061</v>
      </c>
      <c r="L65" s="31">
        <f t="shared" si="7"/>
        <v>0.0086038908292632</v>
      </c>
      <c r="M65" s="31">
        <f t="shared" si="7"/>
        <v>0.008506589689656863</v>
      </c>
      <c r="N65" s="31">
        <f t="shared" si="7"/>
        <v>0.008372451238443601</v>
      </c>
      <c r="O65" s="31">
        <f t="shared" si="7"/>
        <v>0.0083645915581149</v>
      </c>
    </row>
    <row r="66" spans="2:15" ht="12.75">
      <c r="B66" s="29" t="s">
        <v>7</v>
      </c>
      <c r="C66" s="31">
        <f t="shared" si="7"/>
        <v>0.0763592340829285</v>
      </c>
      <c r="D66" s="31">
        <f t="shared" si="7"/>
        <v>0.07643231590773629</v>
      </c>
      <c r="E66" s="31">
        <f t="shared" si="7"/>
        <v>0.0764958519069231</v>
      </c>
      <c r="F66" s="31">
        <f t="shared" si="7"/>
        <v>0.07627112149254901</v>
      </c>
      <c r="G66" s="31">
        <f t="shared" si="7"/>
        <v>0.07650626221862411</v>
      </c>
      <c r="H66" s="31">
        <f t="shared" si="7"/>
        <v>0.07475529287091677</v>
      </c>
      <c r="I66" s="31">
        <f t="shared" si="7"/>
        <v>0.07089865297427694</v>
      </c>
      <c r="J66" s="31">
        <f t="shared" si="7"/>
        <v>0.07049957827184251</v>
      </c>
      <c r="K66" s="31">
        <f t="shared" si="7"/>
        <v>0.07037256354970063</v>
      </c>
      <c r="L66" s="31">
        <f t="shared" si="7"/>
        <v>0.07044425847310341</v>
      </c>
      <c r="M66" s="31">
        <f t="shared" si="7"/>
        <v>0.06994069263995613</v>
      </c>
      <c r="N66" s="31">
        <f t="shared" si="7"/>
        <v>0.06901742747020752</v>
      </c>
      <c r="O66" s="31">
        <f t="shared" si="7"/>
        <v>0.06892582461708668</v>
      </c>
    </row>
    <row r="67" spans="2:15" ht="12.75">
      <c r="B67" s="29" t="s">
        <v>10</v>
      </c>
      <c r="C67" s="31">
        <f aca="true" t="shared" si="9" ref="C67:O77">C39/C$49</f>
        <v>0.02335748975456864</v>
      </c>
      <c r="D67" s="31">
        <f t="shared" si="9"/>
        <v>0.023430100225036526</v>
      </c>
      <c r="E67" s="31">
        <f t="shared" si="9"/>
        <v>0.023322754497788804</v>
      </c>
      <c r="F67" s="31">
        <f t="shared" si="9"/>
        <v>0.023397829617747643</v>
      </c>
      <c r="G67" s="31">
        <f t="shared" si="9"/>
        <v>0.023469061493414132</v>
      </c>
      <c r="H67" s="31">
        <f t="shared" si="9"/>
        <v>0.022492967379486816</v>
      </c>
      <c r="I67" s="31">
        <f t="shared" si="9"/>
        <v>0.021720100884309684</v>
      </c>
      <c r="J67" s="31">
        <f t="shared" si="9"/>
        <v>0.021073485430617107</v>
      </c>
      <c r="K67" s="31">
        <f t="shared" si="9"/>
        <v>0.020737628503792703</v>
      </c>
      <c r="L67" s="31">
        <f t="shared" si="9"/>
        <v>0.02022517724650874</v>
      </c>
      <c r="M67" s="31">
        <f t="shared" si="9"/>
        <v>0.01975894973044841</v>
      </c>
      <c r="N67" s="31">
        <f t="shared" si="9"/>
        <v>0.01930597037956412</v>
      </c>
      <c r="O67" s="31">
        <f t="shared" si="9"/>
        <v>0.018471270717677648</v>
      </c>
    </row>
    <row r="68" spans="2:15" ht="12.75">
      <c r="B68" s="29" t="s">
        <v>11</v>
      </c>
      <c r="C68" s="31">
        <f t="shared" si="9"/>
        <v>0.013524480735467314</v>
      </c>
      <c r="D68" s="31">
        <f t="shared" si="9"/>
        <v>0.013846002294448505</v>
      </c>
      <c r="E68" s="31">
        <f t="shared" si="9"/>
        <v>0.014109242043607141</v>
      </c>
      <c r="F68" s="31">
        <f t="shared" si="9"/>
        <v>0.014788837864055979</v>
      </c>
      <c r="G68" s="31">
        <f t="shared" si="9"/>
        <v>0.014820044416597377</v>
      </c>
      <c r="H68" s="31">
        <f t="shared" si="9"/>
        <v>0.01450834157784025</v>
      </c>
      <c r="I68" s="31">
        <f t="shared" si="9"/>
        <v>0.014591100722778689</v>
      </c>
      <c r="J68" s="31">
        <f t="shared" si="9"/>
        <v>0.014567331778815647</v>
      </c>
      <c r="K68" s="31">
        <f t="shared" si="9"/>
        <v>0.014669212943325965</v>
      </c>
      <c r="L68" s="31">
        <f t="shared" si="9"/>
        <v>0.014584209613246557</v>
      </c>
      <c r="M68" s="31">
        <f t="shared" si="9"/>
        <v>0.014475239996149592</v>
      </c>
      <c r="N68" s="31">
        <f t="shared" si="9"/>
        <v>0.014452683688105246</v>
      </c>
      <c r="O68" s="31">
        <f t="shared" si="9"/>
        <v>0.014507314789505565</v>
      </c>
    </row>
    <row r="69" spans="2:15" ht="25.5">
      <c r="B69" s="29" t="s">
        <v>12</v>
      </c>
      <c r="C69" s="31">
        <f t="shared" si="9"/>
        <v>0.0812679623751637</v>
      </c>
      <c r="D69" s="31">
        <f t="shared" si="9"/>
        <v>0.08349973207833854</v>
      </c>
      <c r="E69" s="31">
        <f t="shared" si="9"/>
        <v>0.08425653805898009</v>
      </c>
      <c r="F69" s="31">
        <f t="shared" si="9"/>
        <v>0.08396944477377165</v>
      </c>
      <c r="G69" s="31">
        <f t="shared" si="9"/>
        <v>0.08333261951854905</v>
      </c>
      <c r="H69" s="31">
        <f t="shared" si="9"/>
        <v>0.08128585596369069</v>
      </c>
      <c r="I69" s="31">
        <f t="shared" si="9"/>
        <v>0.08042898801552308</v>
      </c>
      <c r="J69" s="31">
        <f t="shared" si="9"/>
        <v>0.07918046856250299</v>
      </c>
      <c r="K69" s="31">
        <f t="shared" si="9"/>
        <v>0.07889221840179127</v>
      </c>
      <c r="L69" s="31">
        <f t="shared" si="9"/>
        <v>0.0785998533676828</v>
      </c>
      <c r="M69" s="31">
        <f t="shared" si="9"/>
        <v>0.07922794272172227</v>
      </c>
      <c r="N69" s="31">
        <f t="shared" si="9"/>
        <v>0.07899126208696726</v>
      </c>
      <c r="O69" s="31">
        <f t="shared" si="9"/>
        <v>0.07761272917421749</v>
      </c>
    </row>
    <row r="70" spans="2:15" ht="12.75">
      <c r="B70" s="29" t="s">
        <v>13</v>
      </c>
      <c r="C70" s="31">
        <f t="shared" si="9"/>
        <v>0.047939257608797074</v>
      </c>
      <c r="D70" s="31">
        <f t="shared" si="9"/>
        <v>0.04770004212653158</v>
      </c>
      <c r="E70" s="31">
        <f t="shared" si="9"/>
        <v>0.04668703874645782</v>
      </c>
      <c r="F70" s="31">
        <f t="shared" si="9"/>
        <v>0.04570681013007982</v>
      </c>
      <c r="G70" s="31">
        <f t="shared" si="9"/>
        <v>0.044508688050391744</v>
      </c>
      <c r="H70" s="31">
        <f t="shared" si="9"/>
        <v>0.04315259898111115</v>
      </c>
      <c r="I70" s="31">
        <f t="shared" si="9"/>
        <v>0.0417347302338787</v>
      </c>
      <c r="J70" s="31">
        <f t="shared" si="9"/>
        <v>0.04127629332941247</v>
      </c>
      <c r="K70" s="31">
        <f t="shared" si="9"/>
        <v>0.040711191820470664</v>
      </c>
      <c r="L70" s="31">
        <f t="shared" si="9"/>
        <v>0.039877409679772775</v>
      </c>
      <c r="M70" s="31">
        <f t="shared" si="9"/>
        <v>0.0394236972036777</v>
      </c>
      <c r="N70" s="31">
        <f t="shared" si="9"/>
        <v>0.03857179023542619</v>
      </c>
      <c r="O70" s="31">
        <f t="shared" si="9"/>
        <v>0.037954457902350885</v>
      </c>
    </row>
    <row r="71" spans="2:15" ht="12.75">
      <c r="B71" s="29" t="s">
        <v>14</v>
      </c>
      <c r="C71" s="31">
        <f t="shared" si="9"/>
        <v>0.08537622141433578</v>
      </c>
      <c r="D71" s="31">
        <f t="shared" si="9"/>
        <v>0.08123200940556163</v>
      </c>
      <c r="E71" s="31">
        <f t="shared" si="9"/>
        <v>0.07663285034341914</v>
      </c>
      <c r="F71" s="31">
        <f t="shared" si="9"/>
        <v>0.06937336699468091</v>
      </c>
      <c r="G71" s="31">
        <f t="shared" si="9"/>
        <v>0.06359028040110655</v>
      </c>
      <c r="H71" s="31">
        <f t="shared" si="9"/>
        <v>0.05857379481473184</v>
      </c>
      <c r="I71" s="31">
        <f t="shared" si="9"/>
        <v>0.05338917741381689</v>
      </c>
      <c r="J71" s="31">
        <f t="shared" si="9"/>
        <v>0.04949156296884867</v>
      </c>
      <c r="K71" s="31">
        <f t="shared" si="9"/>
        <v>0.047561101852883356</v>
      </c>
      <c r="L71" s="31">
        <f t="shared" si="9"/>
        <v>0.0478881467332839</v>
      </c>
      <c r="M71" s="31">
        <f t="shared" si="9"/>
        <v>0.048000485518800234</v>
      </c>
      <c r="N71" s="31">
        <f t="shared" si="9"/>
        <v>0.047333753195743795</v>
      </c>
      <c r="O71" s="31">
        <f t="shared" si="9"/>
        <v>0.04736023534911532</v>
      </c>
    </row>
    <row r="72" spans="2:15" ht="12.75">
      <c r="B72" s="29" t="s">
        <v>16</v>
      </c>
      <c r="C72" s="31">
        <f t="shared" si="9"/>
        <v>0.01740454961858706</v>
      </c>
      <c r="D72" s="31">
        <f t="shared" si="9"/>
        <v>0.017367951944398302</v>
      </c>
      <c r="E72" s="31">
        <f t="shared" si="9"/>
        <v>0.017883323413411416</v>
      </c>
      <c r="F72" s="31">
        <f t="shared" si="9"/>
        <v>0.01828170766473643</v>
      </c>
      <c r="G72" s="31">
        <f t="shared" si="9"/>
        <v>0.018860885475546995</v>
      </c>
      <c r="H72" s="31">
        <f t="shared" si="9"/>
        <v>0.020342167871256613</v>
      </c>
      <c r="I72" s="31">
        <f t="shared" si="9"/>
        <v>0.021335474862529246</v>
      </c>
      <c r="J72" s="31">
        <f t="shared" si="9"/>
        <v>0.02221895437257109</v>
      </c>
      <c r="K72" s="31">
        <f t="shared" si="9"/>
        <v>0.022743404183360554</v>
      </c>
      <c r="L72" s="31">
        <f t="shared" si="9"/>
        <v>0.02310477881854702</v>
      </c>
      <c r="M72" s="31">
        <f t="shared" si="9"/>
        <v>0.023062483396429783</v>
      </c>
      <c r="N72" s="31">
        <f t="shared" si="9"/>
        <v>0.0232172400571056</v>
      </c>
      <c r="O72" s="31">
        <f t="shared" si="9"/>
        <v>0.02274099060509764</v>
      </c>
    </row>
    <row r="73" spans="2:15" ht="12.75">
      <c r="B73" s="29" t="s">
        <v>17</v>
      </c>
      <c r="C73" s="31">
        <f t="shared" si="9"/>
        <v>0.026702018319514072</v>
      </c>
      <c r="D73" s="31">
        <f t="shared" si="9"/>
        <v>0.02607084902694125</v>
      </c>
      <c r="E73" s="31">
        <f t="shared" si="9"/>
        <v>0.02577676138326795</v>
      </c>
      <c r="F73" s="31">
        <f t="shared" si="9"/>
        <v>0.02525462038021405</v>
      </c>
      <c r="G73" s="31">
        <f t="shared" si="9"/>
        <v>0.024779527883908</v>
      </c>
      <c r="H73" s="31">
        <f t="shared" si="9"/>
        <v>0.025150878650609946</v>
      </c>
      <c r="I73" s="31">
        <f t="shared" si="9"/>
        <v>0.025264012707186357</v>
      </c>
      <c r="J73" s="31">
        <f t="shared" si="9"/>
        <v>0.025668290987848414</v>
      </c>
      <c r="K73" s="31">
        <f t="shared" si="9"/>
        <v>0.024885514727343894</v>
      </c>
      <c r="L73" s="31">
        <f t="shared" si="9"/>
        <v>0.025690618055266668</v>
      </c>
      <c r="M73" s="31">
        <f t="shared" si="9"/>
        <v>0.025800702806866714</v>
      </c>
      <c r="N73" s="31">
        <f t="shared" si="9"/>
        <v>0.026344482648021965</v>
      </c>
      <c r="O73" s="31">
        <f t="shared" si="9"/>
        <v>0.027093762399292638</v>
      </c>
    </row>
    <row r="74" spans="2:15" ht="12.75">
      <c r="B74" s="29" t="s">
        <v>18</v>
      </c>
      <c r="C74" s="31">
        <f t="shared" si="9"/>
        <v>0.02259121695309966</v>
      </c>
      <c r="D74" s="31">
        <f t="shared" si="9"/>
        <v>0.022274416480827654</v>
      </c>
      <c r="E74" s="31">
        <f t="shared" si="9"/>
        <v>0.02180697871288562</v>
      </c>
      <c r="F74" s="31">
        <f t="shared" si="9"/>
        <v>0.021169048838652844</v>
      </c>
      <c r="G74" s="31">
        <f t="shared" si="9"/>
        <v>0.021044179351031464</v>
      </c>
      <c r="H74" s="31">
        <f t="shared" si="9"/>
        <v>0.02103089485526312</v>
      </c>
      <c r="I74" s="31">
        <f t="shared" si="9"/>
        <v>0.020582504938741957</v>
      </c>
      <c r="J74" s="31">
        <f t="shared" si="9"/>
        <v>0.02046037078364855</v>
      </c>
      <c r="K74" s="31">
        <f t="shared" si="9"/>
        <v>0.020292506295896365</v>
      </c>
      <c r="L74" s="31">
        <f t="shared" si="9"/>
        <v>0.020010004471383822</v>
      </c>
      <c r="M74" s="31">
        <f t="shared" si="9"/>
        <v>0.01991030370149576</v>
      </c>
      <c r="N74" s="31">
        <f t="shared" si="9"/>
        <v>0.01966964842954095</v>
      </c>
      <c r="O74" s="31">
        <f t="shared" si="9"/>
        <v>0.019836258527852785</v>
      </c>
    </row>
    <row r="75" spans="2:15" ht="12.75">
      <c r="B75" s="29" t="s">
        <v>15</v>
      </c>
      <c r="C75" s="31">
        <f t="shared" si="9"/>
        <v>0.11497727792685372</v>
      </c>
      <c r="D75" s="31">
        <f t="shared" si="9"/>
        <v>0.11561500143135624</v>
      </c>
      <c r="E75" s="31">
        <f t="shared" si="9"/>
        <v>0.11674696376127565</v>
      </c>
      <c r="F75" s="31">
        <f t="shared" si="9"/>
        <v>0.11672333519437168</v>
      </c>
      <c r="G75" s="31">
        <f t="shared" si="9"/>
        <v>0.11803274917945616</v>
      </c>
      <c r="H75" s="31">
        <f t="shared" si="9"/>
        <v>0.12290256171252162</v>
      </c>
      <c r="I75" s="31">
        <f t="shared" si="9"/>
        <v>0.12593108068591832</v>
      </c>
      <c r="J75" s="31">
        <f t="shared" si="9"/>
        <v>0.12624870176537178</v>
      </c>
      <c r="K75" s="31">
        <f t="shared" si="9"/>
        <v>0.1265289277537684</v>
      </c>
      <c r="L75" s="31">
        <f t="shared" si="9"/>
        <v>0.1253829451072831</v>
      </c>
      <c r="M75" s="31">
        <f t="shared" si="9"/>
        <v>0.12345662260605955</v>
      </c>
      <c r="N75" s="31">
        <f t="shared" si="9"/>
        <v>0.12262755961298967</v>
      </c>
      <c r="O75" s="31">
        <f t="shared" si="9"/>
        <v>0.12187492142187605</v>
      </c>
    </row>
    <row r="76" spans="2:15" ht="13.5" thickBot="1">
      <c r="B76" s="30" t="s">
        <v>40</v>
      </c>
      <c r="C76" s="32">
        <f t="shared" si="9"/>
        <v>0.031781090626789896</v>
      </c>
      <c r="D76" s="32">
        <f t="shared" si="9"/>
        <v>0.030791843828846997</v>
      </c>
      <c r="E76" s="32">
        <f t="shared" si="9"/>
        <v>0.03070387520634564</v>
      </c>
      <c r="F76" s="32">
        <f t="shared" si="9"/>
        <v>0.030189155873497717</v>
      </c>
      <c r="G76" s="32">
        <f t="shared" si="9"/>
        <v>0.030349005593898734</v>
      </c>
      <c r="H76" s="32">
        <f t="shared" si="9"/>
        <v>0.03233036637920178</v>
      </c>
      <c r="I76" s="32">
        <f t="shared" si="9"/>
        <v>0.033374092105377465</v>
      </c>
      <c r="J76" s="32">
        <f t="shared" si="9"/>
        <v>0.033411319109520436</v>
      </c>
      <c r="K76" s="32">
        <f t="shared" si="9"/>
        <v>0.03360955579864347</v>
      </c>
      <c r="L76" s="32">
        <f t="shared" si="9"/>
        <v>0.03370618602459162</v>
      </c>
      <c r="M76" s="32">
        <f t="shared" si="9"/>
        <v>0.03453458266325959</v>
      </c>
      <c r="N76" s="32">
        <f t="shared" si="9"/>
        <v>0.034715277591844645</v>
      </c>
      <c r="O76" s="32">
        <f t="shared" si="9"/>
        <v>0.03543914163766602</v>
      </c>
    </row>
    <row r="77" spans="2:15" ht="13.5" thickTop="1">
      <c r="B77" s="27" t="s">
        <v>57</v>
      </c>
      <c r="C77" s="35">
        <f t="shared" si="9"/>
        <v>1</v>
      </c>
      <c r="D77" s="35">
        <f t="shared" si="9"/>
        <v>1</v>
      </c>
      <c r="E77" s="35">
        <f t="shared" si="9"/>
        <v>1</v>
      </c>
      <c r="F77" s="35">
        <f t="shared" si="9"/>
        <v>1</v>
      </c>
      <c r="G77" s="35">
        <f t="shared" si="9"/>
        <v>1</v>
      </c>
      <c r="H77" s="35">
        <f t="shared" si="9"/>
        <v>1</v>
      </c>
      <c r="I77" s="35">
        <f t="shared" si="9"/>
        <v>1</v>
      </c>
      <c r="J77" s="35">
        <f t="shared" si="9"/>
        <v>1</v>
      </c>
      <c r="K77" s="35">
        <f t="shared" si="9"/>
        <v>1</v>
      </c>
      <c r="L77" s="35">
        <f t="shared" si="9"/>
        <v>1</v>
      </c>
      <c r="M77" s="35">
        <f t="shared" si="9"/>
        <v>1</v>
      </c>
      <c r="N77" s="35">
        <f t="shared" si="9"/>
        <v>1</v>
      </c>
      <c r="O77" s="35">
        <f t="shared" si="9"/>
        <v>1</v>
      </c>
    </row>
    <row r="78" spans="2:15" ht="12.75">
      <c r="B78" s="26" t="s">
        <v>58</v>
      </c>
      <c r="C78" s="31">
        <f aca="true" t="shared" si="10" ref="C78:O79">C50/C$49</f>
        <v>0.1547168304110802</v>
      </c>
      <c r="D78" s="31">
        <f t="shared" si="10"/>
        <v>0.15773174860692799</v>
      </c>
      <c r="E78" s="31">
        <f t="shared" si="10"/>
        <v>0.16289352901393575</v>
      </c>
      <c r="F78" s="31">
        <f t="shared" si="10"/>
        <v>0.17365489685117996</v>
      </c>
      <c r="G78" s="31">
        <f t="shared" si="10"/>
        <v>0.18459995287155226</v>
      </c>
      <c r="H78" s="31">
        <f t="shared" si="10"/>
        <v>0.19391413472673746</v>
      </c>
      <c r="I78" s="31">
        <f t="shared" si="10"/>
        <v>0.20571467606926355</v>
      </c>
      <c r="J78" s="31">
        <f t="shared" si="10"/>
        <v>0.21501541374513083</v>
      </c>
      <c r="K78" s="31">
        <f t="shared" si="10"/>
        <v>0.22057265017847574</v>
      </c>
      <c r="L78" s="31">
        <f t="shared" si="10"/>
        <v>0.2255714668249853</v>
      </c>
      <c r="M78" s="31">
        <f t="shared" si="10"/>
        <v>0.22807684372074502</v>
      </c>
      <c r="N78" s="31">
        <f t="shared" si="10"/>
        <v>0.23102380797612698</v>
      </c>
      <c r="O78" s="31">
        <f t="shared" si="10"/>
        <v>0.23530912037109347</v>
      </c>
    </row>
    <row r="79" spans="2:15" ht="12.75">
      <c r="B79" s="26" t="s">
        <v>59</v>
      </c>
      <c r="C79" s="31">
        <f t="shared" si="10"/>
        <v>0.8452831695889197</v>
      </c>
      <c r="D79" s="31">
        <f t="shared" si="10"/>
        <v>0.8422682513930718</v>
      </c>
      <c r="E79" s="31">
        <f t="shared" si="10"/>
        <v>0.8371064709860643</v>
      </c>
      <c r="F79" s="31">
        <f t="shared" si="10"/>
        <v>0.8263451031488198</v>
      </c>
      <c r="G79" s="31">
        <f t="shared" si="10"/>
        <v>0.8154000471284476</v>
      </c>
      <c r="H79" s="31">
        <f t="shared" si="10"/>
        <v>0.8060858652732625</v>
      </c>
      <c r="I79" s="31">
        <f t="shared" si="10"/>
        <v>0.7942853239307365</v>
      </c>
      <c r="J79" s="31">
        <f t="shared" si="10"/>
        <v>0.7849845862548692</v>
      </c>
      <c r="K79" s="31">
        <f t="shared" si="10"/>
        <v>0.7794273498215244</v>
      </c>
      <c r="L79" s="31">
        <f t="shared" si="10"/>
        <v>0.7744285331750147</v>
      </c>
      <c r="M79" s="31">
        <f t="shared" si="10"/>
        <v>0.7719231562792551</v>
      </c>
      <c r="N79" s="31">
        <f t="shared" si="10"/>
        <v>0.7689761920238732</v>
      </c>
      <c r="O79" s="31">
        <f t="shared" si="10"/>
        <v>0.7646908796289067</v>
      </c>
    </row>
  </sheetData>
  <printOptions/>
  <pageMargins left="0.75" right="0.75" top="1" bottom="1" header="0.4921259845" footer="0.4921259845"/>
  <pageSetup horizontalDpi="300" verticalDpi="3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B2" sqref="B2:N2"/>
    </sheetView>
  </sheetViews>
  <sheetFormatPr defaultColWidth="11.421875" defaultRowHeight="12.75"/>
  <cols>
    <col min="1" max="1" width="42.57421875" style="0" customWidth="1"/>
    <col min="2" max="14" width="13.8515625" style="0" customWidth="1"/>
  </cols>
  <sheetData>
    <row r="1" ht="12.75">
      <c r="A1" s="1"/>
    </row>
    <row r="2" spans="1:14" ht="12.75">
      <c r="A2" s="2"/>
      <c r="B2" s="44" t="s">
        <v>44</v>
      </c>
      <c r="C2" s="44" t="s">
        <v>45</v>
      </c>
      <c r="D2" s="44" t="s">
        <v>46</v>
      </c>
      <c r="E2" s="44" t="s">
        <v>47</v>
      </c>
      <c r="F2" s="44" t="s">
        <v>48</v>
      </c>
      <c r="G2" s="44" t="s">
        <v>49</v>
      </c>
      <c r="H2" s="44" t="s">
        <v>50</v>
      </c>
      <c r="I2" s="44" t="s">
        <v>51</v>
      </c>
      <c r="J2" s="44" t="s">
        <v>52</v>
      </c>
      <c r="K2" s="44" t="s">
        <v>53</v>
      </c>
      <c r="L2" s="44" t="s">
        <v>60</v>
      </c>
      <c r="M2" s="44" t="s">
        <v>61</v>
      </c>
      <c r="N2" s="44" t="s">
        <v>62</v>
      </c>
    </row>
    <row r="3" spans="1:14" ht="12.75">
      <c r="A3" s="4" t="s">
        <v>0</v>
      </c>
      <c r="B3" s="49">
        <f>'Tableau sortie'!C27</f>
        <v>112186.333</v>
      </c>
      <c r="C3" s="49">
        <f>'Tableau sortie'!D27</f>
        <v>113520.6885</v>
      </c>
      <c r="D3" s="49">
        <f>'Tableau sortie'!E27</f>
        <v>117389.6145</v>
      </c>
      <c r="E3" s="49">
        <f>'Tableau sortie'!F27</f>
        <v>127013.264</v>
      </c>
      <c r="F3" s="49">
        <f>'Tableau sortie'!G27</f>
        <v>133707.3025</v>
      </c>
      <c r="G3" s="49">
        <f>'Tableau sortie'!H27</f>
        <v>132752.2955</v>
      </c>
      <c r="H3" s="49">
        <f>'Tableau sortie'!I27</f>
        <v>136796.8455</v>
      </c>
      <c r="I3" s="49">
        <f>'Tableau sortie'!J27</f>
        <v>140711.416</v>
      </c>
      <c r="J3" s="49">
        <f>'Tableau sortie'!K27</f>
        <v>144241.7015</v>
      </c>
      <c r="K3" s="49">
        <f>'Tableau sortie'!L27</f>
        <v>146977.94</v>
      </c>
      <c r="L3" s="49">
        <f>'Tableau sortie'!M27</f>
        <v>148349.0345</v>
      </c>
      <c r="M3" s="49">
        <f>'Tableau sortie'!N27</f>
        <v>150312.5415</v>
      </c>
      <c r="N3" s="49">
        <f>'Tableau sortie'!O27</f>
        <v>151859.352</v>
      </c>
    </row>
    <row r="4" spans="1:14" ht="12.75">
      <c r="A4" s="4" t="s">
        <v>1</v>
      </c>
      <c r="B4" s="49">
        <f>'Tableau sortie'!C28</f>
        <v>211697.7585</v>
      </c>
      <c r="C4" s="49">
        <f>'Tableau sortie'!D28</f>
        <v>215651.7735</v>
      </c>
      <c r="D4" s="49">
        <f>'Tableau sortie'!E28</f>
        <v>219336.1355</v>
      </c>
      <c r="E4" s="49">
        <f>'Tableau sortie'!F28</f>
        <v>228538.2525</v>
      </c>
      <c r="F4" s="49">
        <f>'Tableau sortie'!G28</f>
        <v>235841.878</v>
      </c>
      <c r="G4" s="49">
        <f>'Tableau sortie'!H28</f>
        <v>231288.675</v>
      </c>
      <c r="H4" s="49">
        <f>'Tableau sortie'!I28</f>
        <v>229595.507</v>
      </c>
      <c r="I4" s="49">
        <f>'Tableau sortie'!J28</f>
        <v>227255.391</v>
      </c>
      <c r="J4" s="49">
        <f>'Tableau sortie'!K28</f>
        <v>225654.791</v>
      </c>
      <c r="K4" s="49">
        <f>'Tableau sortie'!L28</f>
        <v>224254.88</v>
      </c>
      <c r="L4" s="49">
        <f>'Tableau sortie'!M28</f>
        <v>223066.6915</v>
      </c>
      <c r="M4" s="49">
        <f>'Tableau sortie'!N28</f>
        <v>223789.6615</v>
      </c>
      <c r="N4" s="49">
        <f>'Tableau sortie'!O28</f>
        <v>221796.4955</v>
      </c>
    </row>
    <row r="5" spans="1:14" ht="12.75">
      <c r="A5" s="4" t="s">
        <v>2</v>
      </c>
      <c r="B5" s="49">
        <f>'Tableau sortie'!C31</f>
        <v>11512.919</v>
      </c>
      <c r="C5" s="49">
        <f>'Tableau sortie'!D31</f>
        <v>11345.123</v>
      </c>
      <c r="D5" s="49">
        <f>'Tableau sortie'!E31</f>
        <v>11133.4095</v>
      </c>
      <c r="E5" s="49">
        <f>'Tableau sortie'!F31</f>
        <v>11775.8935</v>
      </c>
      <c r="F5" s="49">
        <f>'Tableau sortie'!G31</f>
        <v>11726.797</v>
      </c>
      <c r="G5" s="49">
        <f>'Tableau sortie'!H31</f>
        <v>11559.077</v>
      </c>
      <c r="H5" s="49">
        <f>'Tableau sortie'!I31</f>
        <v>11386.393</v>
      </c>
      <c r="I5" s="49">
        <f>'Tableau sortie'!J31</f>
        <v>10909.485</v>
      </c>
      <c r="J5" s="49">
        <f>'Tableau sortie'!K31</f>
        <v>10986.5955</v>
      </c>
      <c r="K5" s="49">
        <f>'Tableau sortie'!L31</f>
        <v>10947.227</v>
      </c>
      <c r="L5" s="49">
        <f>'Tableau sortie'!M31</f>
        <v>10892.0495</v>
      </c>
      <c r="M5" s="49">
        <f>'Tableau sortie'!N31</f>
        <v>10835.175</v>
      </c>
      <c r="N5" s="49">
        <f>'Tableau sortie'!O31</f>
        <v>10676.3585</v>
      </c>
    </row>
    <row r="6" spans="1:14" ht="12.75">
      <c r="A6" s="4" t="s">
        <v>3</v>
      </c>
      <c r="B6" s="49">
        <f>'Tableau sortie'!C32</f>
        <v>9387.745</v>
      </c>
      <c r="C6" s="49">
        <f>'Tableau sortie'!D32</f>
        <v>9301.476</v>
      </c>
      <c r="D6" s="49">
        <f>'Tableau sortie'!E32</f>
        <v>9259.021</v>
      </c>
      <c r="E6" s="49">
        <f>'Tableau sortie'!F32</f>
        <v>9846.728</v>
      </c>
      <c r="F6" s="49">
        <f>'Tableau sortie'!G32</f>
        <v>9945.0995</v>
      </c>
      <c r="G6" s="49">
        <f>'Tableau sortie'!H32</f>
        <v>9802.8885</v>
      </c>
      <c r="H6" s="49">
        <f>'Tableau sortie'!I32</f>
        <v>9839.534</v>
      </c>
      <c r="I6" s="49">
        <f>'Tableau sortie'!J32</f>
        <v>9727.299</v>
      </c>
      <c r="J6" s="49">
        <f>'Tableau sortie'!K32</f>
        <v>9460.492</v>
      </c>
      <c r="K6" s="49">
        <f>'Tableau sortie'!L32</f>
        <v>9558.1945</v>
      </c>
      <c r="L6" s="49">
        <f>'Tableau sortie'!M32</f>
        <v>9581.1465</v>
      </c>
      <c r="M6" s="49">
        <f>'Tableau sortie'!N32</f>
        <v>9539.463</v>
      </c>
      <c r="N6" s="49">
        <f>'Tableau sortie'!O32</f>
        <v>9431.7365</v>
      </c>
    </row>
    <row r="7" spans="1:14" ht="12.75">
      <c r="A7" s="4" t="s">
        <v>4</v>
      </c>
      <c r="B7" s="49">
        <f>'Tableau sortie'!C34</f>
        <v>138798.3265</v>
      </c>
      <c r="C7" s="49">
        <f>'Tableau sortie'!D34</f>
        <v>136564.6</v>
      </c>
      <c r="D7" s="49">
        <f>'Tableau sortie'!E34</f>
        <v>133773.337</v>
      </c>
      <c r="E7" s="49">
        <f>'Tableau sortie'!F34</f>
        <v>129199.2725</v>
      </c>
      <c r="F7" s="49">
        <f>'Tableau sortie'!G34</f>
        <v>122075.583</v>
      </c>
      <c r="G7" s="49">
        <f>'Tableau sortie'!H34</f>
        <v>107901.5825</v>
      </c>
      <c r="H7" s="49">
        <f>'Tableau sortie'!I34</f>
        <v>94829.8965</v>
      </c>
      <c r="I7" s="49">
        <f>'Tableau sortie'!J34</f>
        <v>87788.3455</v>
      </c>
      <c r="J7" s="49">
        <f>'Tableau sortie'!K34</f>
        <v>84030.06</v>
      </c>
      <c r="K7" s="49">
        <f>'Tableau sortie'!L34</f>
        <v>80072.8585</v>
      </c>
      <c r="L7" s="49">
        <f>'Tableau sortie'!M34</f>
        <v>77626.16</v>
      </c>
      <c r="M7" s="49">
        <f>'Tableau sortie'!N34</f>
        <v>76625.331</v>
      </c>
      <c r="N7" s="49">
        <f>'Tableau sortie'!O34</f>
        <v>72263.5605</v>
      </c>
    </row>
    <row r="8" spans="1:14" ht="12.75">
      <c r="A8" s="4" t="s">
        <v>5</v>
      </c>
      <c r="B8" s="49">
        <f>'Tableau sortie'!C33</f>
        <v>63804.0215</v>
      </c>
      <c r="C8" s="49">
        <f>'Tableau sortie'!D33</f>
        <v>62750.3715</v>
      </c>
      <c r="D8" s="49">
        <f>'Tableau sortie'!E33</f>
        <v>62666.8525</v>
      </c>
      <c r="E8" s="49">
        <f>'Tableau sortie'!F33</f>
        <v>62944.6835</v>
      </c>
      <c r="F8" s="49">
        <f>'Tableau sortie'!G33</f>
        <v>62408.443</v>
      </c>
      <c r="G8" s="49">
        <f>'Tableau sortie'!H33</f>
        <v>58112.2525</v>
      </c>
      <c r="H8" s="49">
        <f>'Tableau sortie'!I33</f>
        <v>56230.0585</v>
      </c>
      <c r="I8" s="49">
        <f>'Tableau sortie'!J33</f>
        <v>54481.943</v>
      </c>
      <c r="J8" s="49">
        <f>'Tableau sortie'!K33</f>
        <v>53651.746</v>
      </c>
      <c r="K8" s="49">
        <f>'Tableau sortie'!L33</f>
        <v>53006.532</v>
      </c>
      <c r="L8" s="49">
        <f>'Tableau sortie'!M33</f>
        <v>52478.36</v>
      </c>
      <c r="M8" s="49">
        <f>'Tableau sortie'!N33</f>
        <v>52730.1665</v>
      </c>
      <c r="N8" s="49">
        <f>'Tableau sortie'!O33</f>
        <v>52570.1525</v>
      </c>
    </row>
    <row r="9" spans="1:14" ht="12.75">
      <c r="A9" s="4" t="s">
        <v>6</v>
      </c>
      <c r="B9" s="49">
        <f>'Tableau sortie'!C37</f>
        <v>24505.607</v>
      </c>
      <c r="C9" s="49">
        <f>'Tableau sortie'!D37</f>
        <v>23794.712</v>
      </c>
      <c r="D9" s="49">
        <f>'Tableau sortie'!E37</f>
        <v>22714.38</v>
      </c>
      <c r="E9" s="49">
        <f>'Tableau sortie'!F37</f>
        <v>21586.084</v>
      </c>
      <c r="F9" s="49">
        <f>'Tableau sortie'!G37</f>
        <v>20413.25</v>
      </c>
      <c r="G9" s="49">
        <f>'Tableau sortie'!H37</f>
        <v>19371.746</v>
      </c>
      <c r="H9" s="49">
        <f>'Tableau sortie'!I37</f>
        <v>17718.701</v>
      </c>
      <c r="I9" s="49">
        <f>'Tableau sortie'!J37</f>
        <v>16468.782</v>
      </c>
      <c r="J9" s="49">
        <f>'Tableau sortie'!K37</f>
        <v>16181.569</v>
      </c>
      <c r="K9" s="49">
        <f>'Tableau sortie'!L37</f>
        <v>15753.89</v>
      </c>
      <c r="L9" s="49">
        <f>'Tableau sortie'!M37</f>
        <v>15456.97</v>
      </c>
      <c r="M9" s="49">
        <f>'Tableau sortie'!N37</f>
        <v>15174.896</v>
      </c>
      <c r="N9" s="49">
        <f>'Tableau sortie'!O37</f>
        <v>14904.242</v>
      </c>
    </row>
    <row r="10" spans="1:14" ht="12.75">
      <c r="A10" s="4" t="s">
        <v>7</v>
      </c>
      <c r="B10" s="49">
        <f>'Tableau sortie'!C38</f>
        <v>179340.0075</v>
      </c>
      <c r="C10" s="49">
        <f>'Tableau sortie'!D38</f>
        <v>178804.566</v>
      </c>
      <c r="D10" s="49">
        <f>'Tableau sortie'!E38</f>
        <v>176855.1235</v>
      </c>
      <c r="E10" s="49">
        <f>'Tableau sortie'!F38</f>
        <v>173578.253</v>
      </c>
      <c r="F10" s="49">
        <f>'Tableau sortie'!G38</f>
        <v>169790.0815</v>
      </c>
      <c r="G10" s="49">
        <f>'Tableau sortie'!H38</f>
        <v>156037.772</v>
      </c>
      <c r="H10" s="49">
        <f>'Tableau sortie'!I38</f>
        <v>140566.1485</v>
      </c>
      <c r="I10" s="49">
        <f>'Tableau sortie'!J38</f>
        <v>134357.591</v>
      </c>
      <c r="J10" s="49">
        <f>'Tableau sortie'!K38</f>
        <v>131405.866</v>
      </c>
      <c r="K10" s="49">
        <f>'Tableau sortie'!L38</f>
        <v>128984.7955</v>
      </c>
      <c r="L10" s="49">
        <f>'Tableau sortie'!M38</f>
        <v>127086.321</v>
      </c>
      <c r="M10" s="49">
        <f>'Tableau sortie'!N38</f>
        <v>125092.6705</v>
      </c>
      <c r="N10" s="49">
        <f>'Tableau sortie'!O38</f>
        <v>122813.7875</v>
      </c>
    </row>
    <row r="11" spans="1:14" ht="12.75">
      <c r="A11" s="4" t="s">
        <v>8</v>
      </c>
      <c r="B11" s="49">
        <f>'Tableau sortie'!C35</f>
        <v>100245.956</v>
      </c>
      <c r="C11" s="49">
        <f>'Tableau sortie'!D35</f>
        <v>99856.994</v>
      </c>
      <c r="D11" s="49">
        <f>'Tableau sortie'!E35</f>
        <v>98255.51</v>
      </c>
      <c r="E11" s="49">
        <f>'Tableau sortie'!F35</f>
        <v>97020.2835</v>
      </c>
      <c r="F11" s="49">
        <f>'Tableau sortie'!G35</f>
        <v>91952.3405</v>
      </c>
      <c r="G11" s="49">
        <f>'Tableau sortie'!H35</f>
        <v>83928.2805</v>
      </c>
      <c r="H11" s="49">
        <f>'Tableau sortie'!I35</f>
        <v>79160.232</v>
      </c>
      <c r="I11" s="49">
        <f>'Tableau sortie'!J35</f>
        <v>75434.775</v>
      </c>
      <c r="J11" s="49">
        <f>'Tableau sortie'!K35</f>
        <v>74106.1635</v>
      </c>
      <c r="K11" s="49">
        <f>'Tableau sortie'!L35</f>
        <v>71720.187</v>
      </c>
      <c r="L11" s="49">
        <f>'Tableau sortie'!M35</f>
        <v>71309.321</v>
      </c>
      <c r="M11" s="49">
        <f>'Tableau sortie'!N35</f>
        <v>71552.767</v>
      </c>
      <c r="N11" s="49">
        <f>'Tableau sortie'!O35</f>
        <v>70342.082</v>
      </c>
    </row>
    <row r="12" spans="1:14" ht="12.75">
      <c r="A12" s="4" t="s">
        <v>9</v>
      </c>
      <c r="B12" s="49">
        <f>'Tableau sortie'!C36</f>
        <v>365736.182</v>
      </c>
      <c r="C12" s="49">
        <f>'Tableau sortie'!D36</f>
        <v>367578.259</v>
      </c>
      <c r="D12" s="49">
        <f>'Tableau sortie'!E36</f>
        <v>361990.5725</v>
      </c>
      <c r="E12" s="49">
        <f>'Tableau sortie'!F36</f>
        <v>353144.848</v>
      </c>
      <c r="F12" s="49">
        <f>'Tableau sortie'!G36</f>
        <v>338627.1525</v>
      </c>
      <c r="G12" s="49">
        <f>'Tableau sortie'!H36</f>
        <v>313727.126</v>
      </c>
      <c r="H12" s="49">
        <f>'Tableau sortie'!I36</f>
        <v>295956.3525</v>
      </c>
      <c r="I12" s="49">
        <f>'Tableau sortie'!J36</f>
        <v>280504.144</v>
      </c>
      <c r="J12" s="49">
        <f>'Tableau sortie'!K36</f>
        <v>271480.3685</v>
      </c>
      <c r="K12" s="49">
        <f>'Tableau sortie'!L36</f>
        <v>262315.677</v>
      </c>
      <c r="L12" s="49">
        <f>'Tableau sortie'!M36</f>
        <v>261132.2565</v>
      </c>
      <c r="M12" s="49">
        <f>'Tableau sortie'!N36</f>
        <v>261483.0495</v>
      </c>
      <c r="N12" s="49">
        <f>'Tableau sortie'!O36</f>
        <v>256025.653</v>
      </c>
    </row>
    <row r="13" spans="1:14" ht="12.75">
      <c r="A13" s="4" t="s">
        <v>10</v>
      </c>
      <c r="B13" s="49">
        <f>'Tableau sortie'!C39</f>
        <v>54858.2295</v>
      </c>
      <c r="C13" s="49">
        <f>'Tableau sortie'!D39</f>
        <v>54812.0105</v>
      </c>
      <c r="D13" s="49">
        <f>'Tableau sortie'!E39</f>
        <v>53921.2065</v>
      </c>
      <c r="E13" s="49">
        <f>'Tableau sortie'!F39</f>
        <v>53248.914</v>
      </c>
      <c r="F13" s="49">
        <f>'Tableau sortie'!G39</f>
        <v>52084.8065</v>
      </c>
      <c r="G13" s="49">
        <f>'Tableau sortie'!H39</f>
        <v>46949.8865</v>
      </c>
      <c r="H13" s="49">
        <f>'Tableau sortie'!I39</f>
        <v>43063.0315</v>
      </c>
      <c r="I13" s="49">
        <f>'Tableau sortie'!J39</f>
        <v>40161.6975</v>
      </c>
      <c r="J13" s="49">
        <f>'Tableau sortie'!K39</f>
        <v>38723.1315</v>
      </c>
      <c r="K13" s="49">
        <f>'Tableau sortie'!L39</f>
        <v>37032.6895</v>
      </c>
      <c r="L13" s="49">
        <f>'Tableau sortie'!M39</f>
        <v>35903.165</v>
      </c>
      <c r="M13" s="49">
        <f>'Tableau sortie'!N39</f>
        <v>34991.675</v>
      </c>
      <c r="N13" s="49">
        <f>'Tableau sortie'!O39</f>
        <v>32912.58</v>
      </c>
    </row>
    <row r="14" spans="1:14" ht="12.75">
      <c r="A14" s="4" t="s">
        <v>11</v>
      </c>
      <c r="B14" s="49">
        <f>'Tableau sortie'!C40</f>
        <v>31764.0755</v>
      </c>
      <c r="C14" s="49">
        <f>'Tableau sortie'!D40</f>
        <v>32391.1215</v>
      </c>
      <c r="D14" s="49">
        <f>'Tableau sortie'!E40</f>
        <v>32619.9615</v>
      </c>
      <c r="E14" s="49">
        <f>'Tableau sortie'!F40</f>
        <v>33656.5215</v>
      </c>
      <c r="F14" s="49">
        <f>'Tableau sortie'!G40</f>
        <v>32890.073</v>
      </c>
      <c r="G14" s="49">
        <f>'Tableau sortie'!H40</f>
        <v>30283.465</v>
      </c>
      <c r="H14" s="49">
        <f>'Tableau sortie'!I40</f>
        <v>28928.8265</v>
      </c>
      <c r="I14" s="49">
        <f>'Tableau sortie'!J40</f>
        <v>27762.3165</v>
      </c>
      <c r="J14" s="49">
        <f>'Tableau sortie'!K40</f>
        <v>27391.65</v>
      </c>
      <c r="K14" s="49">
        <f>'Tableau sortie'!L40</f>
        <v>26703.969</v>
      </c>
      <c r="L14" s="49">
        <f>'Tableau sortie'!M40</f>
        <v>26302.356</v>
      </c>
      <c r="M14" s="49">
        <f>'Tableau sortie'!N40</f>
        <v>26195.1925</v>
      </c>
      <c r="N14" s="49">
        <f>'Tableau sortie'!O40</f>
        <v>25849.5025</v>
      </c>
    </row>
    <row r="15" spans="1:14" ht="12.75">
      <c r="A15" s="4" t="s">
        <v>12</v>
      </c>
      <c r="B15" s="49">
        <f>'Tableau sortie'!C41</f>
        <v>190868.821</v>
      </c>
      <c r="C15" s="49">
        <f>'Tableau sortie'!D41</f>
        <v>195337.969</v>
      </c>
      <c r="D15" s="49">
        <f>'Tableau sortie'!E41</f>
        <v>194797.4965</v>
      </c>
      <c r="E15" s="49">
        <f>'Tableau sortie'!F41</f>
        <v>191098.141</v>
      </c>
      <c r="F15" s="49">
        <f>'Tableau sortie'!G41</f>
        <v>184939.7925</v>
      </c>
      <c r="G15" s="49">
        <f>'Tableau sortie'!H41</f>
        <v>169669.108</v>
      </c>
      <c r="H15" s="49">
        <f>'Tableau sortie'!I41</f>
        <v>159461.324</v>
      </c>
      <c r="I15" s="49">
        <f>'Tableau sortie'!J41</f>
        <v>150901.5695</v>
      </c>
      <c r="J15" s="49">
        <f>'Tableau sortie'!K41</f>
        <v>147314.518</v>
      </c>
      <c r="K15" s="49">
        <f>'Tableau sortie'!L41</f>
        <v>143917.847</v>
      </c>
      <c r="L15" s="49">
        <f>'Tableau sortie'!M41</f>
        <v>143961.7965</v>
      </c>
      <c r="M15" s="49">
        <f>'Tableau sortie'!N41</f>
        <v>143170.041</v>
      </c>
      <c r="N15" s="49">
        <f>'Tableau sortie'!O41</f>
        <v>138292.335</v>
      </c>
    </row>
    <row r="16" spans="1:14" ht="12.75">
      <c r="A16" s="4" t="s">
        <v>13</v>
      </c>
      <c r="B16" s="49">
        <f>'Tableau sortie'!C42</f>
        <v>112591.842</v>
      </c>
      <c r="C16" s="49">
        <f>'Tableau sortie'!D42</f>
        <v>111588.7335</v>
      </c>
      <c r="D16" s="49">
        <f>'Tableau sortie'!E42</f>
        <v>107938.428</v>
      </c>
      <c r="E16" s="49">
        <f>'Tableau sortie'!F42</f>
        <v>104019.819</v>
      </c>
      <c r="F16" s="49">
        <f>'Tableau sortie'!G42</f>
        <v>98777.9765</v>
      </c>
      <c r="G16" s="49">
        <f>'Tableau sortie'!H42</f>
        <v>90073.0255</v>
      </c>
      <c r="H16" s="49">
        <f>'Tableau sortie'!I42</f>
        <v>82744.7355</v>
      </c>
      <c r="I16" s="49">
        <f>'Tableau sortie'!J42</f>
        <v>78664.064</v>
      </c>
      <c r="J16" s="49">
        <f>'Tableau sortie'!K42</f>
        <v>76019.533</v>
      </c>
      <c r="K16" s="49">
        <f>'Tableau sortie'!L42</f>
        <v>73016.306</v>
      </c>
      <c r="L16" s="49">
        <f>'Tableau sortie'!M42</f>
        <v>71635.159</v>
      </c>
      <c r="M16" s="49">
        <f>'Tableau sortie'!N42</f>
        <v>69910.578</v>
      </c>
      <c r="N16" s="49">
        <f>'Tableau sortie'!O42</f>
        <v>67628.2185</v>
      </c>
    </row>
    <row r="17" spans="1:14" ht="12.75">
      <c r="A17" s="4" t="s">
        <v>14</v>
      </c>
      <c r="B17" s="49">
        <f>'Tableau sortie'!C43</f>
        <v>200517.624</v>
      </c>
      <c r="C17" s="49">
        <f>'Tableau sortie'!D43</f>
        <v>190032.894</v>
      </c>
      <c r="D17" s="49">
        <f>'Tableau sortie'!E43</f>
        <v>177171.858</v>
      </c>
      <c r="E17" s="49">
        <f>'Tableau sortie'!F43</f>
        <v>157880.304</v>
      </c>
      <c r="F17" s="49">
        <f>'Tableau sortie'!G43</f>
        <v>141125.688</v>
      </c>
      <c r="G17" s="49">
        <f>'Tableau sortie'!H43</f>
        <v>122261.904</v>
      </c>
      <c r="H17" s="49">
        <f>'Tableau sortie'!I43</f>
        <v>105851.25</v>
      </c>
      <c r="I17" s="49">
        <f>'Tableau sortie'!J43</f>
        <v>94320.666</v>
      </c>
      <c r="J17" s="49">
        <f>'Tableau sortie'!K43</f>
        <v>88810.29</v>
      </c>
      <c r="K17" s="49">
        <f>'Tableau sortie'!L43</f>
        <v>87684.12</v>
      </c>
      <c r="L17" s="49">
        <f>'Tableau sortie'!M43</f>
        <v>87219.684</v>
      </c>
      <c r="M17" s="49">
        <f>'Tableau sortie'!N43</f>
        <v>85791.456</v>
      </c>
      <c r="N17" s="49">
        <f>'Tableau sortie'!O43</f>
        <v>84387.672</v>
      </c>
    </row>
    <row r="18" spans="1:14" ht="12.75">
      <c r="A18" s="4" t="s">
        <v>15</v>
      </c>
      <c r="B18" s="49">
        <f>'Tableau sortie'!C47</f>
        <v>270039.716</v>
      </c>
      <c r="C18" s="49">
        <f>'Tableau sortie'!D47</f>
        <v>270467.9285</v>
      </c>
      <c r="D18" s="49">
        <f>'Tableau sortie'!E47</f>
        <v>269913.965</v>
      </c>
      <c r="E18" s="49">
        <f>'Tableau sortie'!F47</f>
        <v>265639.6315</v>
      </c>
      <c r="F18" s="49">
        <f>'Tableau sortie'!G47</f>
        <v>261949.6695</v>
      </c>
      <c r="G18" s="49">
        <f>'Tableau sortie'!H47</f>
        <v>256536.242</v>
      </c>
      <c r="H18" s="49">
        <f>'Tableau sortie'!I47</f>
        <v>249675.364</v>
      </c>
      <c r="I18" s="49">
        <f>'Tableau sortie'!J47</f>
        <v>240603.871</v>
      </c>
      <c r="J18" s="49">
        <f>'Tableau sortie'!K47</f>
        <v>236265.989</v>
      </c>
      <c r="K18" s="49">
        <f>'Tableau sortie'!L47</f>
        <v>229578.59</v>
      </c>
      <c r="L18" s="49">
        <f>'Tableau sortie'!M47</f>
        <v>224327.8895</v>
      </c>
      <c r="M18" s="49">
        <f>'Tableau sortie'!N47</f>
        <v>222259.9345</v>
      </c>
      <c r="N18" s="49">
        <f>'Tableau sortie'!O47</f>
        <v>217159.835</v>
      </c>
    </row>
    <row r="19" spans="1:14" ht="12.75">
      <c r="A19" s="4" t="s">
        <v>16</v>
      </c>
      <c r="B19" s="49">
        <f>'Tableau sortie'!C44</f>
        <v>40876.943</v>
      </c>
      <c r="C19" s="49">
        <f>'Tableau sortie'!D44</f>
        <v>40630.3155</v>
      </c>
      <c r="D19" s="49">
        <f>'Tableau sortie'!E44</f>
        <v>41345.4755</v>
      </c>
      <c r="E19" s="49">
        <f>'Tableau sortie'!F44</f>
        <v>41605.6145</v>
      </c>
      <c r="F19" s="49">
        <f>'Tableau sortie'!G44</f>
        <v>41857.8975</v>
      </c>
      <c r="G19" s="49">
        <f>'Tableau sortie'!H44</f>
        <v>42460.4925</v>
      </c>
      <c r="H19" s="49">
        <f>'Tableau sortie'!I44</f>
        <v>42300.4585</v>
      </c>
      <c r="I19" s="49">
        <f>'Tableau sortie'!J44</f>
        <v>42344.724</v>
      </c>
      <c r="J19" s="49">
        <f>'Tableau sortie'!K44</f>
        <v>42468.493</v>
      </c>
      <c r="K19" s="49">
        <f>'Tableau sortie'!L44</f>
        <v>42305.2955</v>
      </c>
      <c r="L19" s="49">
        <f>'Tableau sortie'!M44</f>
        <v>41905.8785</v>
      </c>
      <c r="M19" s="49">
        <f>'Tableau sortie'!N44</f>
        <v>42080.771</v>
      </c>
      <c r="N19" s="49">
        <f>'Tableau sortie'!O44</f>
        <v>40520.4755</v>
      </c>
    </row>
    <row r="20" spans="1:14" ht="12.75">
      <c r="A20" s="4" t="s">
        <v>17</v>
      </c>
      <c r="B20" s="49">
        <f>'Tableau sortie'!C45</f>
        <v>62713.308</v>
      </c>
      <c r="C20" s="49">
        <f>'Tableau sortie'!D45</f>
        <v>60989.737</v>
      </c>
      <c r="D20" s="49">
        <f>'Tableau sortie'!E45</f>
        <v>59594.765</v>
      </c>
      <c r="E20" s="49">
        <f>'Tableau sortie'!F45</f>
        <v>57474.609</v>
      </c>
      <c r="F20" s="49">
        <f>'Tableau sortie'!G45</f>
        <v>54993.12</v>
      </c>
      <c r="G20" s="49">
        <f>'Tableau sortie'!H45</f>
        <v>52497.782</v>
      </c>
      <c r="H20" s="49">
        <f>'Tableau sortie'!I45</f>
        <v>50089.315</v>
      </c>
      <c r="I20" s="49">
        <f>'Tableau sortie'!J45</f>
        <v>48918.445</v>
      </c>
      <c r="J20" s="49">
        <f>'Tableau sortie'!K45</f>
        <v>46468.431</v>
      </c>
      <c r="K20" s="49">
        <f>'Tableau sortie'!L45</f>
        <v>47040.017</v>
      </c>
      <c r="L20" s="49">
        <f>'Tableau sortie'!M45</f>
        <v>46881.383</v>
      </c>
      <c r="M20" s="49">
        <f>'Tableau sortie'!N45</f>
        <v>47748.834</v>
      </c>
      <c r="N20" s="49">
        <f>'Tableau sortie'!O45</f>
        <v>48276.355</v>
      </c>
    </row>
    <row r="21" spans="1:14" ht="12.75">
      <c r="A21" s="4" t="s">
        <v>18</v>
      </c>
      <c r="B21" s="49">
        <f>'Tableau sortie'!C46</f>
        <v>53058.534</v>
      </c>
      <c r="C21" s="49">
        <f>'Tableau sortie'!D46</f>
        <v>52108.422</v>
      </c>
      <c r="D21" s="49">
        <f>'Tableau sortie'!E46</f>
        <v>50416.798</v>
      </c>
      <c r="E21" s="49">
        <f>'Tableau sortie'!F46</f>
        <v>48176.642</v>
      </c>
      <c r="F21" s="49">
        <f>'Tableau sortie'!G46</f>
        <v>46703.274</v>
      </c>
      <c r="G21" s="49">
        <f>'Tableau sortie'!H46</f>
        <v>43898.082</v>
      </c>
      <c r="H21" s="49">
        <f>'Tableau sortie'!I46</f>
        <v>40807.594</v>
      </c>
      <c r="I21" s="49">
        <f>'Tableau sortie'!J46</f>
        <v>38993.228</v>
      </c>
      <c r="J21" s="49">
        <f>'Tableau sortie'!K46</f>
        <v>37891.96</v>
      </c>
      <c r="K21" s="49">
        <f>'Tableau sortie'!L46</f>
        <v>36638.704</v>
      </c>
      <c r="L21" s="49">
        <f>'Tableau sortie'!M46</f>
        <v>36178.184</v>
      </c>
      <c r="M21" s="49">
        <f>'Tableau sortie'!N46</f>
        <v>35650.834</v>
      </c>
      <c r="N21" s="49">
        <f>'Tableau sortie'!O46</f>
        <v>35344.75</v>
      </c>
    </row>
    <row r="22" spans="1:14" ht="12.75">
      <c r="A22" s="1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ht="12.75">
      <c r="A23" s="1"/>
    </row>
    <row r="24" spans="1:14" ht="12.75">
      <c r="A24" s="2"/>
      <c r="B24" s="44" t="s">
        <v>44</v>
      </c>
      <c r="C24" s="44" t="s">
        <v>45</v>
      </c>
      <c r="D24" s="44" t="s">
        <v>46</v>
      </c>
      <c r="E24" s="44" t="s">
        <v>47</v>
      </c>
      <c r="F24" s="44" t="s">
        <v>48</v>
      </c>
      <c r="G24" s="44" t="s">
        <v>49</v>
      </c>
      <c r="H24" s="44" t="s">
        <v>50</v>
      </c>
      <c r="I24" s="44" t="s">
        <v>51</v>
      </c>
      <c r="J24" s="44" t="s">
        <v>52</v>
      </c>
      <c r="K24" s="44" t="s">
        <v>53</v>
      </c>
      <c r="L24" s="44" t="s">
        <v>60</v>
      </c>
      <c r="M24" s="44" t="s">
        <v>61</v>
      </c>
      <c r="N24" s="44" t="s">
        <v>62</v>
      </c>
    </row>
    <row r="25" spans="1:14" ht="12.75">
      <c r="A25" s="4" t="s">
        <v>0</v>
      </c>
      <c r="B25" s="9">
        <f aca="true" t="shared" si="0" ref="B25:N25">B3/B$45</f>
        <v>0.0502063704341209</v>
      </c>
      <c r="C25" s="9">
        <f t="shared" si="0"/>
        <v>0.05096263842412069</v>
      </c>
      <c r="D25" s="9">
        <f t="shared" si="0"/>
        <v>0.05333239711703168</v>
      </c>
      <c r="E25" s="9">
        <f t="shared" si="0"/>
        <v>0.058600380780849996</v>
      </c>
      <c r="F25" s="9">
        <f t="shared" si="0"/>
        <v>0.06331407098855199</v>
      </c>
      <c r="G25" s="9">
        <f t="shared" si="0"/>
        <v>0.06707670751494423</v>
      </c>
      <c r="H25" s="9">
        <f t="shared" si="0"/>
        <v>0.07295825660689748</v>
      </c>
      <c r="I25" s="9">
        <f t="shared" si="0"/>
        <v>0.07815955880121259</v>
      </c>
      <c r="J25" s="9">
        <f t="shared" si="0"/>
        <v>0.0818367861731704</v>
      </c>
      <c r="K25" s="9">
        <f t="shared" si="0"/>
        <v>0.0850808179779969</v>
      </c>
      <c r="L25" s="9">
        <f t="shared" si="0"/>
        <v>0.08668823201478941</v>
      </c>
      <c r="M25" s="9">
        <f t="shared" si="0"/>
        <v>0.08816320750872012</v>
      </c>
      <c r="N25" s="9">
        <f t="shared" si="0"/>
        <v>0.09076769082596592</v>
      </c>
    </row>
    <row r="26" spans="1:14" ht="12.75">
      <c r="A26" s="4" t="s">
        <v>1</v>
      </c>
      <c r="B26" s="9">
        <f aca="true" t="shared" si="1" ref="B26:N41">B4/B$45</f>
        <v>0.09474038235409715</v>
      </c>
      <c r="C26" s="9">
        <f t="shared" si="1"/>
        <v>0.09681216264294303</v>
      </c>
      <c r="D26" s="9">
        <f t="shared" si="1"/>
        <v>0.09964869490734268</v>
      </c>
      <c r="E26" s="9">
        <f t="shared" si="1"/>
        <v>0.10544118147762933</v>
      </c>
      <c r="F26" s="9">
        <f t="shared" si="1"/>
        <v>0.11167759072669511</v>
      </c>
      <c r="G26" s="9">
        <f t="shared" si="1"/>
        <v>0.11686489296521423</v>
      </c>
      <c r="H26" s="9">
        <f t="shared" si="1"/>
        <v>0.12245083469776888</v>
      </c>
      <c r="I26" s="9">
        <f t="shared" si="1"/>
        <v>0.1262312724914733</v>
      </c>
      <c r="J26" s="9">
        <f t="shared" si="1"/>
        <v>0.12802721188101387</v>
      </c>
      <c r="K26" s="9">
        <f t="shared" si="1"/>
        <v>0.1298139613737785</v>
      </c>
      <c r="L26" s="9">
        <f t="shared" si="1"/>
        <v>0.13034973346943793</v>
      </c>
      <c r="M26" s="9">
        <f t="shared" si="1"/>
        <v>0.13125993458856347</v>
      </c>
      <c r="N26" s="9">
        <f t="shared" si="1"/>
        <v>0.13256974604913854</v>
      </c>
    </row>
    <row r="27" spans="1:14" ht="12.75">
      <c r="A27" s="4" t="s">
        <v>2</v>
      </c>
      <c r="B27" s="9">
        <f t="shared" si="1"/>
        <v>0.00515233772809054</v>
      </c>
      <c r="C27" s="9">
        <f t="shared" si="1"/>
        <v>0.005093145654469628</v>
      </c>
      <c r="D27" s="9">
        <f t="shared" si="1"/>
        <v>0.00505812562081915</v>
      </c>
      <c r="E27" s="9">
        <f t="shared" si="1"/>
        <v>0.005433069125242986</v>
      </c>
      <c r="F27" s="9">
        <f t="shared" si="1"/>
        <v>0.005552959665208552</v>
      </c>
      <c r="G27" s="9">
        <f t="shared" si="1"/>
        <v>0.005840538004645794</v>
      </c>
      <c r="H27" s="9">
        <f t="shared" si="1"/>
        <v>0.006072737856524486</v>
      </c>
      <c r="I27" s="9">
        <f t="shared" si="1"/>
        <v>0.006059782202379704</v>
      </c>
      <c r="J27" s="9">
        <f t="shared" si="1"/>
        <v>0.006233340686879072</v>
      </c>
      <c r="K27" s="9">
        <f t="shared" si="1"/>
        <v>0.0063369987887353235</v>
      </c>
      <c r="L27" s="9">
        <f t="shared" si="1"/>
        <v>0.006364803905566173</v>
      </c>
      <c r="M27" s="9">
        <f t="shared" si="1"/>
        <v>0.006355183488919296</v>
      </c>
      <c r="N27" s="9">
        <f t="shared" si="1"/>
        <v>0.006381354817549683</v>
      </c>
    </row>
    <row r="28" spans="1:14" ht="12.75">
      <c r="A28" s="4" t="s">
        <v>3</v>
      </c>
      <c r="B28" s="9">
        <f t="shared" si="1"/>
        <v>0.004201265790647301</v>
      </c>
      <c r="C28" s="9">
        <f t="shared" si="1"/>
        <v>0.004175694884009063</v>
      </c>
      <c r="D28" s="9">
        <f t="shared" si="1"/>
        <v>0.004206554276459744</v>
      </c>
      <c r="E28" s="9">
        <f t="shared" si="1"/>
        <v>0.004543005919802655</v>
      </c>
      <c r="F28" s="9">
        <f t="shared" si="1"/>
        <v>0.004709277084781611</v>
      </c>
      <c r="G28" s="9">
        <f t="shared" si="1"/>
        <v>0.004953176005277515</v>
      </c>
      <c r="H28" s="9">
        <f t="shared" si="1"/>
        <v>0.005247747079550108</v>
      </c>
      <c r="I28" s="9">
        <f t="shared" si="1"/>
        <v>0.005403125203199408</v>
      </c>
      <c r="J28" s="9">
        <f t="shared" si="1"/>
        <v>0.00536749256869373</v>
      </c>
      <c r="K28" s="9">
        <f t="shared" si="1"/>
        <v>0.005532932400962968</v>
      </c>
      <c r="L28" s="9">
        <f t="shared" si="1"/>
        <v>0.005598773551570958</v>
      </c>
      <c r="M28" s="9">
        <f t="shared" si="1"/>
        <v>0.0055952061457942796</v>
      </c>
      <c r="N28" s="9">
        <f t="shared" si="1"/>
        <v>0.005637433133416622</v>
      </c>
    </row>
    <row r="29" spans="1:14" ht="12.75">
      <c r="A29" s="4" t="s">
        <v>4</v>
      </c>
      <c r="B29" s="9">
        <f t="shared" si="1"/>
        <v>0.0621159459405368</v>
      </c>
      <c r="C29" s="9">
        <f t="shared" si="1"/>
        <v>0.06130770014960464</v>
      </c>
      <c r="D29" s="9">
        <f t="shared" si="1"/>
        <v>0.0607758425900147</v>
      </c>
      <c r="E29" s="9">
        <f t="shared" si="1"/>
        <v>0.059608944189551746</v>
      </c>
      <c r="F29" s="9">
        <f t="shared" si="1"/>
        <v>0.05780613312448564</v>
      </c>
      <c r="G29" s="9">
        <f t="shared" si="1"/>
        <v>0.054520208953766254</v>
      </c>
      <c r="H29" s="9">
        <f t="shared" si="1"/>
        <v>0.0505759025185455</v>
      </c>
      <c r="I29" s="9">
        <f t="shared" si="1"/>
        <v>0.048762911689897395</v>
      </c>
      <c r="J29" s="9">
        <f t="shared" si="1"/>
        <v>0.047675186723575076</v>
      </c>
      <c r="K29" s="9">
        <f t="shared" si="1"/>
        <v>0.04635161099016901</v>
      </c>
      <c r="L29" s="9">
        <f t="shared" si="1"/>
        <v>0.0453610944700632</v>
      </c>
      <c r="M29" s="9">
        <f t="shared" si="1"/>
        <v>0.04494325549925829</v>
      </c>
      <c r="N29" s="9">
        <f t="shared" si="1"/>
        <v>0.04319257543945981</v>
      </c>
    </row>
    <row r="30" spans="1:14" ht="12.75">
      <c r="A30" s="4" t="s">
        <v>5</v>
      </c>
      <c r="B30" s="9">
        <f t="shared" si="1"/>
        <v>0.028553998093650272</v>
      </c>
      <c r="C30" s="9">
        <f t="shared" si="1"/>
        <v>0.02817041136720861</v>
      </c>
      <c r="D30" s="9">
        <f t="shared" si="1"/>
        <v>0.028470776378641652</v>
      </c>
      <c r="E30" s="9">
        <f t="shared" si="1"/>
        <v>0.029040923011238305</v>
      </c>
      <c r="F30" s="9">
        <f t="shared" si="1"/>
        <v>0.029552107600009363</v>
      </c>
      <c r="G30" s="9">
        <f t="shared" si="1"/>
        <v>0.029362795944851184</v>
      </c>
      <c r="H30" s="9">
        <f t="shared" si="1"/>
        <v>0.029989339462245544</v>
      </c>
      <c r="I30" s="9">
        <f t="shared" si="1"/>
        <v>0.030262538382193612</v>
      </c>
      <c r="J30" s="9">
        <f t="shared" si="1"/>
        <v>0.03043978557906328</v>
      </c>
      <c r="K30" s="9">
        <f t="shared" si="1"/>
        <v>0.03068378221069684</v>
      </c>
      <c r="L30" s="9">
        <f t="shared" si="1"/>
        <v>0.030665897238688424</v>
      </c>
      <c r="M30" s="9">
        <f t="shared" si="1"/>
        <v>0.030927962262609084</v>
      </c>
      <c r="N30" s="9">
        <f t="shared" si="1"/>
        <v>0.03142164961163457</v>
      </c>
    </row>
    <row r="31" spans="1:14" ht="12.75">
      <c r="A31" s="4" t="s">
        <v>6</v>
      </c>
      <c r="B31" s="9">
        <f t="shared" si="1"/>
        <v>0.01096691147534866</v>
      </c>
      <c r="C31" s="9">
        <f t="shared" si="1"/>
        <v>0.010682117242991224</v>
      </c>
      <c r="D31" s="9">
        <f t="shared" si="1"/>
        <v>0.010319586954833744</v>
      </c>
      <c r="E31" s="9">
        <f t="shared" si="1"/>
        <v>0.009959217660664271</v>
      </c>
      <c r="F31" s="9">
        <f t="shared" si="1"/>
        <v>0.00966623314838813</v>
      </c>
      <c r="G31" s="9">
        <f t="shared" si="1"/>
        <v>0.00978810148330573</v>
      </c>
      <c r="H31" s="9">
        <f t="shared" si="1"/>
        <v>0.00944996596649512</v>
      </c>
      <c r="I31" s="9">
        <f t="shared" si="1"/>
        <v>0.009147749142922074</v>
      </c>
      <c r="J31" s="9">
        <f t="shared" si="1"/>
        <v>0.00918075416768016</v>
      </c>
      <c r="K31" s="9">
        <f t="shared" si="1"/>
        <v>0.009119421918251035</v>
      </c>
      <c r="L31" s="9">
        <f t="shared" si="1"/>
        <v>0.009032329776339996</v>
      </c>
      <c r="M31" s="9">
        <f t="shared" si="1"/>
        <v>0.008900571380274658</v>
      </c>
      <c r="N31" s="9">
        <f t="shared" si="1"/>
        <v>0.008908398541377786</v>
      </c>
    </row>
    <row r="32" spans="1:14" ht="12.75">
      <c r="A32" s="4" t="s">
        <v>7</v>
      </c>
      <c r="B32" s="9">
        <f t="shared" si="1"/>
        <v>0.08025942741352479</v>
      </c>
      <c r="C32" s="9">
        <f t="shared" si="1"/>
        <v>0.0802704120812289</v>
      </c>
      <c r="D32" s="9">
        <f t="shared" si="1"/>
        <v>0.08034874054964787</v>
      </c>
      <c r="E32" s="9">
        <f t="shared" si="1"/>
        <v>0.08008416917051056</v>
      </c>
      <c r="F32" s="9">
        <f t="shared" si="1"/>
        <v>0.0804002554254135</v>
      </c>
      <c r="G32" s="9">
        <f t="shared" si="1"/>
        <v>0.07884232776771496</v>
      </c>
      <c r="H32" s="9">
        <f t="shared" si="1"/>
        <v>0.07496854985962566</v>
      </c>
      <c r="I32" s="9">
        <f t="shared" si="1"/>
        <v>0.0746302633622404</v>
      </c>
      <c r="J32" s="9">
        <f t="shared" si="1"/>
        <v>0.07455426305923245</v>
      </c>
      <c r="K32" s="9">
        <f t="shared" si="1"/>
        <v>0.07466516341067682</v>
      </c>
      <c r="L32" s="9">
        <f t="shared" si="1"/>
        <v>0.07426329748545821</v>
      </c>
      <c r="M32" s="9">
        <f t="shared" si="1"/>
        <v>0.07337093070914147</v>
      </c>
      <c r="N32" s="9">
        <f t="shared" si="1"/>
        <v>0.07340689754138999</v>
      </c>
    </row>
    <row r="33" spans="1:14" ht="12.75">
      <c r="A33" s="4" t="s">
        <v>8</v>
      </c>
      <c r="B33" s="9">
        <f t="shared" si="1"/>
        <v>0.04486273387203578</v>
      </c>
      <c r="C33" s="9">
        <f t="shared" si="1"/>
        <v>0.04482862063809267</v>
      </c>
      <c r="D33" s="9">
        <f t="shared" si="1"/>
        <v>0.0446393993248566</v>
      </c>
      <c r="E33" s="9">
        <f t="shared" si="1"/>
        <v>0.04476245533353129</v>
      </c>
      <c r="F33" s="9">
        <f t="shared" si="1"/>
        <v>0.043541952497175726</v>
      </c>
      <c r="G33" s="9">
        <f t="shared" si="1"/>
        <v>0.04240704616162887</v>
      </c>
      <c r="H33" s="9">
        <f t="shared" si="1"/>
        <v>0.042218755105120735</v>
      </c>
      <c r="I33" s="9">
        <f t="shared" si="1"/>
        <v>0.0419009978001269</v>
      </c>
      <c r="J33" s="9">
        <f t="shared" si="1"/>
        <v>0.04204477757400487</v>
      </c>
      <c r="K33" s="9">
        <f t="shared" si="1"/>
        <v>0.04151651720996293</v>
      </c>
      <c r="L33" s="9">
        <f t="shared" si="1"/>
        <v>0.04166982942962864</v>
      </c>
      <c r="M33" s="9">
        <f t="shared" si="1"/>
        <v>0.04196803128928601</v>
      </c>
      <c r="N33" s="9">
        <f t="shared" si="1"/>
        <v>0.04204409058080757</v>
      </c>
    </row>
    <row r="34" spans="1:14" ht="12.75">
      <c r="A34" s="4" t="s">
        <v>9</v>
      </c>
      <c r="B34" s="9">
        <f t="shared" si="1"/>
        <v>0.1636766773957489</v>
      </c>
      <c r="C34" s="9">
        <f t="shared" si="1"/>
        <v>0.16501624640855475</v>
      </c>
      <c r="D34" s="9">
        <f t="shared" si="1"/>
        <v>0.1644593948742514</v>
      </c>
      <c r="E34" s="9">
        <f t="shared" si="1"/>
        <v>0.16293119247447568</v>
      </c>
      <c r="F34" s="9">
        <f t="shared" si="1"/>
        <v>0.16034923426890782</v>
      </c>
      <c r="G34" s="9">
        <f t="shared" si="1"/>
        <v>0.15851916225588772</v>
      </c>
      <c r="H34" s="9">
        <f t="shared" si="1"/>
        <v>0.15784325604303795</v>
      </c>
      <c r="I34" s="9">
        <f t="shared" si="1"/>
        <v>0.15580882319421616</v>
      </c>
      <c r="J34" s="9">
        <f t="shared" si="1"/>
        <v>0.15402675256952653</v>
      </c>
      <c r="K34" s="9">
        <f t="shared" si="1"/>
        <v>0.15184613668971023</v>
      </c>
      <c r="L34" s="9">
        <f t="shared" si="1"/>
        <v>0.15259346792727188</v>
      </c>
      <c r="M34" s="9">
        <f t="shared" si="1"/>
        <v>0.15336833588886814</v>
      </c>
      <c r="N34" s="9">
        <f t="shared" si="1"/>
        <v>0.15302881916037697</v>
      </c>
    </row>
    <row r="35" spans="1:14" ht="12.75">
      <c r="A35" s="4" t="s">
        <v>10</v>
      </c>
      <c r="B35" s="9">
        <f t="shared" si="1"/>
        <v>0.02455051803535658</v>
      </c>
      <c r="C35" s="9">
        <f t="shared" si="1"/>
        <v>0.024606657247419762</v>
      </c>
      <c r="D35" s="9">
        <f t="shared" si="1"/>
        <v>0.024497458402399558</v>
      </c>
      <c r="E35" s="9">
        <f t="shared" si="1"/>
        <v>0.024567565136872114</v>
      </c>
      <c r="F35" s="9">
        <f t="shared" si="1"/>
        <v>0.024663582874734868</v>
      </c>
      <c r="G35" s="9">
        <f t="shared" si="1"/>
        <v>0.02372270696155554</v>
      </c>
      <c r="H35" s="9">
        <f t="shared" si="1"/>
        <v>0.022966930932979072</v>
      </c>
      <c r="I35" s="9">
        <f t="shared" si="1"/>
        <v>0.02230821525744409</v>
      </c>
      <c r="J35" s="9">
        <f t="shared" si="1"/>
        <v>0.021969906064378056</v>
      </c>
      <c r="K35" s="9">
        <f t="shared" si="1"/>
        <v>0.021437036840938013</v>
      </c>
      <c r="L35" s="9">
        <f t="shared" si="1"/>
        <v>0.02098012911290816</v>
      </c>
      <c r="M35" s="9">
        <f t="shared" si="1"/>
        <v>0.020523758518863806</v>
      </c>
      <c r="N35" s="9">
        <f t="shared" si="1"/>
        <v>0.019672142982177804</v>
      </c>
    </row>
    <row r="36" spans="1:14" ht="12.75">
      <c r="A36" s="4" t="s">
        <v>11</v>
      </c>
      <c r="B36" s="9">
        <f t="shared" si="1"/>
        <v>0.01421526935059357</v>
      </c>
      <c r="C36" s="9">
        <f t="shared" si="1"/>
        <v>0.014541287891821249</v>
      </c>
      <c r="D36" s="9">
        <f t="shared" si="1"/>
        <v>0.014819886308258423</v>
      </c>
      <c r="E36" s="9">
        <f t="shared" si="1"/>
        <v>0.015528181180029079</v>
      </c>
      <c r="F36" s="9">
        <f t="shared" si="1"/>
        <v>0.015574350673484397</v>
      </c>
      <c r="G36" s="9">
        <f t="shared" si="1"/>
        <v>0.01530154425347809</v>
      </c>
      <c r="H36" s="9">
        <f t="shared" si="1"/>
        <v>0.015428694568278008</v>
      </c>
      <c r="I36" s="9">
        <f t="shared" si="1"/>
        <v>0.015420855468753327</v>
      </c>
      <c r="J36" s="9">
        <f t="shared" si="1"/>
        <v>0.015540891300289626</v>
      </c>
      <c r="K36" s="9">
        <f t="shared" si="1"/>
        <v>0.01545807163836336</v>
      </c>
      <c r="L36" s="9">
        <f t="shared" si="1"/>
        <v>0.015369865716676357</v>
      </c>
      <c r="M36" s="9">
        <f t="shared" si="1"/>
        <v>0.015364334666035628</v>
      </c>
      <c r="N36" s="9">
        <f t="shared" si="1"/>
        <v>0.0154504784856782</v>
      </c>
    </row>
    <row r="37" spans="1:14" ht="12.75">
      <c r="A37" s="4" t="s">
        <v>12</v>
      </c>
      <c r="B37" s="9">
        <f t="shared" si="1"/>
        <v>0.08541887835347925</v>
      </c>
      <c r="C37" s="9">
        <f t="shared" si="1"/>
        <v>0.0876927229405334</v>
      </c>
      <c r="D37" s="9">
        <f t="shared" si="1"/>
        <v>0.088500311420152</v>
      </c>
      <c r="E37" s="9">
        <f t="shared" si="1"/>
        <v>0.08816735730145918</v>
      </c>
      <c r="F37" s="9">
        <f t="shared" si="1"/>
        <v>0.08757405864913831</v>
      </c>
      <c r="G37" s="9">
        <f t="shared" si="1"/>
        <v>0.08572993098742675</v>
      </c>
      <c r="H37" s="9">
        <f t="shared" si="1"/>
        <v>0.08504596836823711</v>
      </c>
      <c r="I37" s="9">
        <f t="shared" si="1"/>
        <v>0.08381978115073846</v>
      </c>
      <c r="J37" s="9">
        <f t="shared" si="1"/>
        <v>0.0835801753889437</v>
      </c>
      <c r="K37" s="9">
        <f t="shared" si="1"/>
        <v>0.08330942823387107</v>
      </c>
      <c r="L37" s="9">
        <f t="shared" si="1"/>
        <v>0.08412453548026225</v>
      </c>
      <c r="M37" s="9">
        <f t="shared" si="1"/>
        <v>0.08397389803774269</v>
      </c>
      <c r="N37" s="9">
        <f t="shared" si="1"/>
        <v>0.08265856360878521</v>
      </c>
    </row>
    <row r="38" spans="1:14" ht="12.75">
      <c r="A38" s="4" t="s">
        <v>13</v>
      </c>
      <c r="B38" s="9">
        <f t="shared" si="1"/>
        <v>0.050387846506329895</v>
      </c>
      <c r="C38" s="9">
        <f t="shared" si="1"/>
        <v>0.0500953293422464</v>
      </c>
      <c r="D38" s="9">
        <f t="shared" si="1"/>
        <v>0.04903853829662361</v>
      </c>
      <c r="E38" s="9">
        <f t="shared" si="1"/>
        <v>0.04799184597094596</v>
      </c>
      <c r="F38" s="9">
        <f t="shared" si="1"/>
        <v>0.04677407814899655</v>
      </c>
      <c r="G38" s="9">
        <f t="shared" si="1"/>
        <v>0.04551184567990851</v>
      </c>
      <c r="H38" s="9">
        <f t="shared" si="1"/>
        <v>0.04413048870691144</v>
      </c>
      <c r="I38" s="9">
        <f t="shared" si="1"/>
        <v>0.04369473856869118</v>
      </c>
      <c r="J38" s="9">
        <f t="shared" si="1"/>
        <v>0.043130344431670964</v>
      </c>
      <c r="K38" s="9">
        <f t="shared" si="1"/>
        <v>0.04226679895099715</v>
      </c>
      <c r="L38" s="9">
        <f t="shared" si="1"/>
        <v>0.041860233905387026</v>
      </c>
      <c r="M38" s="9">
        <f t="shared" si="1"/>
        <v>0.04100483388652279</v>
      </c>
      <c r="N38" s="9">
        <f t="shared" si="1"/>
        <v>0.04042199013149265</v>
      </c>
    </row>
    <row r="39" spans="1:14" ht="12.75">
      <c r="A39" s="4" t="s">
        <v>14</v>
      </c>
      <c r="B39" s="9">
        <f t="shared" si="1"/>
        <v>0.08973697454852876</v>
      </c>
      <c r="C39" s="9">
        <f t="shared" si="1"/>
        <v>0.08531112516650437</v>
      </c>
      <c r="D39" s="9">
        <f t="shared" si="1"/>
        <v>0.08049263922592016</v>
      </c>
      <c r="E39" s="9">
        <f t="shared" si="1"/>
        <v>0.07284157292577219</v>
      </c>
      <c r="F39" s="9">
        <f t="shared" si="1"/>
        <v>0.06682687976851706</v>
      </c>
      <c r="G39" s="9">
        <f t="shared" si="1"/>
        <v>0.06177615192219549</v>
      </c>
      <c r="H39" s="9">
        <f t="shared" si="1"/>
        <v>0.05645395280449546</v>
      </c>
      <c r="I39" s="9">
        <f t="shared" si="1"/>
        <v>0.052391354233806676</v>
      </c>
      <c r="J39" s="9">
        <f t="shared" si="1"/>
        <v>0.05038729186584958</v>
      </c>
      <c r="K39" s="9">
        <f t="shared" si="1"/>
        <v>0.0507575262878282</v>
      </c>
      <c r="L39" s="9">
        <f t="shared" si="1"/>
        <v>0.0509671008532827</v>
      </c>
      <c r="M39" s="9">
        <f t="shared" si="1"/>
        <v>0.0503194867329366</v>
      </c>
      <c r="N39" s="9">
        <f t="shared" si="1"/>
        <v>0.050439265153844594</v>
      </c>
    </row>
    <row r="40" spans="1:14" ht="12.75">
      <c r="A40" s="4" t="s">
        <v>15</v>
      </c>
      <c r="B40" s="9">
        <f t="shared" si="1"/>
        <v>0.1208499614068035</v>
      </c>
      <c r="C40" s="9">
        <f t="shared" si="1"/>
        <v>0.12142068047329034</v>
      </c>
      <c r="D40" s="9">
        <f t="shared" si="1"/>
        <v>0.1226271917675698</v>
      </c>
      <c r="E40" s="9">
        <f t="shared" si="1"/>
        <v>0.12255872391709166</v>
      </c>
      <c r="F40" s="9">
        <f t="shared" si="1"/>
        <v>0.12404034529191652</v>
      </c>
      <c r="G40" s="9">
        <f t="shared" si="1"/>
        <v>0.12962191280238125</v>
      </c>
      <c r="H40" s="9">
        <f t="shared" si="1"/>
        <v>0.1331600828115041</v>
      </c>
      <c r="I40" s="9">
        <f t="shared" si="1"/>
        <v>0.13364581878149723</v>
      </c>
      <c r="J40" s="9">
        <f t="shared" si="1"/>
        <v>0.13404756752530148</v>
      </c>
      <c r="K40" s="9">
        <f t="shared" si="1"/>
        <v>0.13289568643726518</v>
      </c>
      <c r="L40" s="9">
        <f t="shared" si="1"/>
        <v>0.13108671854796627</v>
      </c>
      <c r="M40" s="9">
        <f t="shared" si="1"/>
        <v>0.13036269981635593</v>
      </c>
      <c r="N40" s="9">
        <f t="shared" si="1"/>
        <v>0.12979837266194688</v>
      </c>
    </row>
    <row r="41" spans="1:14" ht="12.75">
      <c r="A41" s="4" t="s">
        <v>16</v>
      </c>
      <c r="B41" s="9">
        <f t="shared" si="1"/>
        <v>0.018293520142711548</v>
      </c>
      <c r="C41" s="9">
        <f t="shared" si="1"/>
        <v>0.01824009442899429</v>
      </c>
      <c r="D41" s="9">
        <f t="shared" si="1"/>
        <v>0.01878405792327143</v>
      </c>
      <c r="E41" s="9">
        <f t="shared" si="1"/>
        <v>0.019195671188492993</v>
      </c>
      <c r="F41" s="9">
        <f t="shared" si="1"/>
        <v>0.019820861270808548</v>
      </c>
      <c r="G41" s="9">
        <f t="shared" si="1"/>
        <v>0.02145431855348206</v>
      </c>
      <c r="H41" s="9">
        <f t="shared" si="1"/>
        <v>0.02256022567298467</v>
      </c>
      <c r="I41" s="9">
        <f t="shared" si="1"/>
        <v>0.02352079908995527</v>
      </c>
      <c r="J41" s="9">
        <f t="shared" si="1"/>
        <v>0.02409486954601533</v>
      </c>
      <c r="K41" s="9">
        <f t="shared" si="1"/>
        <v>0.02448917943700171</v>
      </c>
      <c r="L41" s="9">
        <f t="shared" si="1"/>
        <v>0.024487833914359415</v>
      </c>
      <c r="M41" s="9">
        <f t="shared" si="1"/>
        <v>0.024681744508989835</v>
      </c>
      <c r="N41" s="9">
        <f t="shared" si="1"/>
        <v>0.024219450062615347</v>
      </c>
    </row>
    <row r="42" spans="1:14" ht="12.75">
      <c r="A42" s="4" t="s">
        <v>17</v>
      </c>
      <c r="B42" s="9">
        <f aca="true" t="shared" si="2" ref="B42:N43">B20/B$45</f>
        <v>0.028065874767447097</v>
      </c>
      <c r="C42" s="9">
        <f t="shared" si="2"/>
        <v>0.027380012889132672</v>
      </c>
      <c r="D42" s="9">
        <f t="shared" si="2"/>
        <v>0.02707506696068229</v>
      </c>
      <c r="E42" s="9">
        <f t="shared" si="2"/>
        <v>0.026517183060742917</v>
      </c>
      <c r="F42" s="9">
        <f t="shared" si="2"/>
        <v>0.02604074899769935</v>
      </c>
      <c r="G42" s="9">
        <f t="shared" si="2"/>
        <v>0.026525932038571065</v>
      </c>
      <c r="H42" s="9">
        <f t="shared" si="2"/>
        <v>0.026714279000196094</v>
      </c>
      <c r="I42" s="9">
        <f t="shared" si="2"/>
        <v>0.02717223795432052</v>
      </c>
      <c r="J42" s="9">
        <f t="shared" si="2"/>
        <v>0.026364269223139485</v>
      </c>
      <c r="K42" s="9">
        <f t="shared" si="2"/>
        <v>0.027229957938306112</v>
      </c>
      <c r="L42" s="9">
        <f t="shared" si="2"/>
        <v>0.027395285856600598</v>
      </c>
      <c r="M42" s="9">
        <f t="shared" si="2"/>
        <v>0.028006248302583792</v>
      </c>
      <c r="N42" s="9">
        <f t="shared" si="2"/>
        <v>0.02885520850138076</v>
      </c>
    </row>
    <row r="43" spans="1:14" ht="12.75">
      <c r="A43" s="4" t="s">
        <v>18</v>
      </c>
      <c r="B43" s="9">
        <f t="shared" si="2"/>
        <v>0.023745106390948695</v>
      </c>
      <c r="C43" s="9">
        <f t="shared" si="2"/>
        <v>0.0233929401268342</v>
      </c>
      <c r="D43" s="9">
        <f t="shared" si="2"/>
        <v>0.022905337101223455</v>
      </c>
      <c r="E43" s="9">
        <f t="shared" si="2"/>
        <v>0.022227360175097074</v>
      </c>
      <c r="F43" s="9">
        <f t="shared" si="2"/>
        <v>0.022115279795086693</v>
      </c>
      <c r="G43" s="9">
        <f t="shared" si="2"/>
        <v>0.02218069974376479</v>
      </c>
      <c r="H43" s="9">
        <f t="shared" si="2"/>
        <v>0.021764031938602633</v>
      </c>
      <c r="I43" s="9">
        <f t="shared" si="2"/>
        <v>0.021659177224931693</v>
      </c>
      <c r="J43" s="9">
        <f t="shared" si="2"/>
        <v>0.021498333671572268</v>
      </c>
      <c r="K43" s="9">
        <f t="shared" si="2"/>
        <v>0.02120897126448844</v>
      </c>
      <c r="L43" s="9">
        <f t="shared" si="2"/>
        <v>0.02114083734374248</v>
      </c>
      <c r="M43" s="9">
        <f t="shared" si="2"/>
        <v>0.020910376768534213</v>
      </c>
      <c r="N43" s="9">
        <f t="shared" si="2"/>
        <v>0.02112587271096125</v>
      </c>
    </row>
    <row r="44" spans="1:14" s="5" customFormat="1" ht="13.5" thickBo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5" customFormat="1" ht="13.5" thickTop="1">
      <c r="A45" s="6" t="s">
        <v>26</v>
      </c>
      <c r="B45" s="34">
        <f aca="true" t="shared" si="3" ref="B45:N45">SUM(B3:B21)</f>
        <v>2234503.949</v>
      </c>
      <c r="C45" s="34">
        <f t="shared" si="3"/>
        <v>2227527.6950000003</v>
      </c>
      <c r="D45" s="34">
        <f t="shared" si="3"/>
        <v>2201093.91</v>
      </c>
      <c r="E45" s="34">
        <f t="shared" si="3"/>
        <v>2167447.759</v>
      </c>
      <c r="F45" s="34">
        <f t="shared" si="3"/>
        <v>2111810.2250000006</v>
      </c>
      <c r="G45" s="34">
        <f t="shared" si="3"/>
        <v>1979111.683</v>
      </c>
      <c r="H45" s="34">
        <f t="shared" si="3"/>
        <v>1875001.5675</v>
      </c>
      <c r="I45" s="34">
        <f t="shared" si="3"/>
        <v>1800309.753</v>
      </c>
      <c r="J45" s="34">
        <f t="shared" si="3"/>
        <v>1762553.3485</v>
      </c>
      <c r="K45" s="34">
        <f t="shared" si="3"/>
        <v>1727509.7195000004</v>
      </c>
      <c r="L45" s="34">
        <f t="shared" si="3"/>
        <v>1711293.8059999999</v>
      </c>
      <c r="M45" s="34">
        <f t="shared" si="3"/>
        <v>1704935.0374999999</v>
      </c>
      <c r="N45" s="34">
        <f t="shared" si="3"/>
        <v>1673055.1434999998</v>
      </c>
    </row>
    <row r="48" spans="1:14" ht="12.75">
      <c r="A48" s="2"/>
      <c r="B48" s="3" t="s">
        <v>41</v>
      </c>
      <c r="C48" s="3" t="s">
        <v>42</v>
      </c>
      <c r="D48" s="3" t="s">
        <v>27</v>
      </c>
      <c r="E48" s="3" t="s">
        <v>28</v>
      </c>
      <c r="F48" s="3" t="s">
        <v>29</v>
      </c>
      <c r="G48" s="3" t="s">
        <v>33</v>
      </c>
      <c r="H48" s="3" t="s">
        <v>30</v>
      </c>
      <c r="I48" s="3" t="s">
        <v>31</v>
      </c>
      <c r="J48" s="3" t="s">
        <v>34</v>
      </c>
      <c r="K48" s="3" t="s">
        <v>35</v>
      </c>
      <c r="L48" s="3" t="s">
        <v>43</v>
      </c>
      <c r="M48" s="3" t="s">
        <v>36</v>
      </c>
      <c r="N48" s="3" t="s">
        <v>32</v>
      </c>
    </row>
    <row r="49" spans="1:14" ht="12.75">
      <c r="A49" s="4" t="s">
        <v>19</v>
      </c>
      <c r="B49" s="9">
        <f aca="true" t="shared" si="4" ref="B49:M49">B27+B28+B30</f>
        <v>0.03790760161238811</v>
      </c>
      <c r="C49" s="9">
        <f t="shared" si="4"/>
        <v>0.0374392519056873</v>
      </c>
      <c r="D49" s="9">
        <f t="shared" si="4"/>
        <v>0.03773545627592055</v>
      </c>
      <c r="E49" s="9">
        <f t="shared" si="4"/>
        <v>0.03901699805628395</v>
      </c>
      <c r="F49" s="9">
        <f t="shared" si="4"/>
        <v>0.039814344349999524</v>
      </c>
      <c r="G49" s="9">
        <f t="shared" si="4"/>
        <v>0.04015650995477449</v>
      </c>
      <c r="H49" s="9">
        <f t="shared" si="4"/>
        <v>0.041309824398320136</v>
      </c>
      <c r="I49" s="9">
        <f t="shared" si="4"/>
        <v>0.04172544578777272</v>
      </c>
      <c r="J49" s="9">
        <f t="shared" si="4"/>
        <v>0.042040618834636084</v>
      </c>
      <c r="K49" s="9">
        <f t="shared" si="4"/>
        <v>0.042553713400395134</v>
      </c>
      <c r="L49" s="9">
        <f t="shared" si="4"/>
        <v>0.04262947469582555</v>
      </c>
      <c r="M49" s="9">
        <f t="shared" si="4"/>
        <v>0.042878351897322656</v>
      </c>
      <c r="N49" s="9">
        <f>N27+N28+N30</f>
        <v>0.04344043756260088</v>
      </c>
    </row>
    <row r="50" spans="1:14" ht="12.75">
      <c r="A50" s="4" t="s">
        <v>20</v>
      </c>
      <c r="B50" s="9">
        <f aca="true" t="shared" si="5" ref="B50:M50">B29+B31+B32+B33+B34</f>
        <v>0.3618816960971949</v>
      </c>
      <c r="C50" s="9">
        <f t="shared" si="5"/>
        <v>0.3621050965204722</v>
      </c>
      <c r="D50" s="9">
        <f t="shared" si="5"/>
        <v>0.36054296429360433</v>
      </c>
      <c r="E50" s="9">
        <f t="shared" si="5"/>
        <v>0.35734597882873353</v>
      </c>
      <c r="F50" s="9">
        <f t="shared" si="5"/>
        <v>0.35176380846437083</v>
      </c>
      <c r="G50" s="9">
        <f t="shared" si="5"/>
        <v>0.34407684662230353</v>
      </c>
      <c r="H50" s="9">
        <f t="shared" si="5"/>
        <v>0.335056429492825</v>
      </c>
      <c r="I50" s="9">
        <f t="shared" si="5"/>
        <v>0.3302507451894029</v>
      </c>
      <c r="J50" s="9">
        <f t="shared" si="5"/>
        <v>0.3274817340940191</v>
      </c>
      <c r="K50" s="9">
        <f t="shared" si="5"/>
        <v>0.32349885021877</v>
      </c>
      <c r="L50" s="9">
        <f t="shared" si="5"/>
        <v>0.3229200190887619</v>
      </c>
      <c r="M50" s="9">
        <f t="shared" si="5"/>
        <v>0.32255112476682857</v>
      </c>
      <c r="N50" s="9">
        <f>N29+N31+N32+N33+N34</f>
        <v>0.32058078126341216</v>
      </c>
    </row>
    <row r="51" spans="1:14" ht="12.75">
      <c r="A51" s="4" t="s">
        <v>21</v>
      </c>
      <c r="B51" s="11">
        <f aca="true" t="shared" si="6" ref="B51:N51">B49+B50+B25+B26</f>
        <v>0.544736050497801</v>
      </c>
      <c r="C51" s="11">
        <f t="shared" si="6"/>
        <v>0.5473191494932232</v>
      </c>
      <c r="D51" s="11">
        <f t="shared" si="6"/>
        <v>0.5512595125938993</v>
      </c>
      <c r="E51" s="11">
        <f t="shared" si="6"/>
        <v>0.5604045391434969</v>
      </c>
      <c r="F51" s="11">
        <f t="shared" si="6"/>
        <v>0.5665698145296175</v>
      </c>
      <c r="G51" s="11">
        <f t="shared" si="6"/>
        <v>0.5681749570572364</v>
      </c>
      <c r="H51" s="11">
        <f t="shared" si="6"/>
        <v>0.5717753451958115</v>
      </c>
      <c r="I51" s="11">
        <f t="shared" si="6"/>
        <v>0.5763670222698616</v>
      </c>
      <c r="J51" s="11">
        <f t="shared" si="6"/>
        <v>0.5793863509828395</v>
      </c>
      <c r="K51" s="11">
        <f t="shared" si="6"/>
        <v>0.5809473429709405</v>
      </c>
      <c r="L51" s="11">
        <f t="shared" si="6"/>
        <v>0.5825874592688148</v>
      </c>
      <c r="M51" s="11">
        <f t="shared" si="6"/>
        <v>0.5848526187614348</v>
      </c>
      <c r="N51" s="11">
        <f t="shared" si="6"/>
        <v>0.5873586557011174</v>
      </c>
    </row>
    <row r="52" spans="1:14" ht="12.75">
      <c r="A52" s="4" t="s">
        <v>22</v>
      </c>
      <c r="B52" s="10">
        <f aca="true" t="shared" si="7" ref="B52:M52">SUM(B35:B40)</f>
        <v>0.38515944820109155</v>
      </c>
      <c r="C52" s="10">
        <f t="shared" si="7"/>
        <v>0.3836678030618155</v>
      </c>
      <c r="D52" s="10">
        <f t="shared" si="7"/>
        <v>0.37997602542092357</v>
      </c>
      <c r="E52" s="10">
        <f t="shared" si="7"/>
        <v>0.3716552464321702</v>
      </c>
      <c r="F52" s="10">
        <f t="shared" si="7"/>
        <v>0.36545329540678767</v>
      </c>
      <c r="G52" s="10">
        <f t="shared" si="7"/>
        <v>0.36166409260694565</v>
      </c>
      <c r="H52" s="10">
        <f t="shared" si="7"/>
        <v>0.3571861181924052</v>
      </c>
      <c r="I52" s="10">
        <f t="shared" si="7"/>
        <v>0.35128076346093096</v>
      </c>
      <c r="J52" s="10">
        <f t="shared" si="7"/>
        <v>0.34865617657643344</v>
      </c>
      <c r="K52" s="10">
        <f t="shared" si="7"/>
        <v>0.346124548389263</v>
      </c>
      <c r="L52" s="10">
        <f t="shared" si="7"/>
        <v>0.3443885836164828</v>
      </c>
      <c r="M52" s="10">
        <f t="shared" si="7"/>
        <v>0.3415490116584574</v>
      </c>
      <c r="N52" s="10">
        <f>SUM(N35:N40)</f>
        <v>0.3384408130239253</v>
      </c>
    </row>
    <row r="53" spans="1:14" ht="12.75">
      <c r="A53" s="4" t="s">
        <v>23</v>
      </c>
      <c r="B53" s="9">
        <f aca="true" t="shared" si="8" ref="B53:M53">SUM(B41:B43)</f>
        <v>0.07010450130110733</v>
      </c>
      <c r="C53" s="9">
        <f t="shared" si="8"/>
        <v>0.06901304744496116</v>
      </c>
      <c r="D53" s="9">
        <f t="shared" si="8"/>
        <v>0.06876446198517717</v>
      </c>
      <c r="E53" s="9">
        <f t="shared" si="8"/>
        <v>0.06794021442433298</v>
      </c>
      <c r="F53" s="9">
        <f t="shared" si="8"/>
        <v>0.06797689006359459</v>
      </c>
      <c r="G53" s="9">
        <f t="shared" si="8"/>
        <v>0.07016095033581791</v>
      </c>
      <c r="H53" s="9">
        <f t="shared" si="8"/>
        <v>0.0710385366117834</v>
      </c>
      <c r="I53" s="9">
        <f t="shared" si="8"/>
        <v>0.07235221426920749</v>
      </c>
      <c r="J53" s="9">
        <f t="shared" si="8"/>
        <v>0.07195747244072709</v>
      </c>
      <c r="K53" s="9">
        <f t="shared" si="8"/>
        <v>0.07292810863979626</v>
      </c>
      <c r="L53" s="9">
        <f t="shared" si="8"/>
        <v>0.0730239571147025</v>
      </c>
      <c r="M53" s="9">
        <f t="shared" si="8"/>
        <v>0.07359836958010785</v>
      </c>
      <c r="N53" s="9">
        <f>SUM(N41:N43)</f>
        <v>0.07420053127495736</v>
      </c>
    </row>
    <row r="54" spans="1:14" ht="12.75">
      <c r="A54" s="4" t="s">
        <v>24</v>
      </c>
      <c r="B54" s="9">
        <f aca="true" t="shared" si="9" ref="B54:M54">+B25+B26</f>
        <v>0.14494675278821806</v>
      </c>
      <c r="C54" s="9">
        <f t="shared" si="9"/>
        <v>0.1477748010670637</v>
      </c>
      <c r="D54" s="9">
        <f t="shared" si="9"/>
        <v>0.15298109202437438</v>
      </c>
      <c r="E54" s="9">
        <f t="shared" si="9"/>
        <v>0.16404156225847932</v>
      </c>
      <c r="F54" s="9">
        <f t="shared" si="9"/>
        <v>0.1749916617152471</v>
      </c>
      <c r="G54" s="9">
        <f t="shared" si="9"/>
        <v>0.18394160048015845</v>
      </c>
      <c r="H54" s="9">
        <f t="shared" si="9"/>
        <v>0.19540909130466635</v>
      </c>
      <c r="I54" s="9">
        <f t="shared" si="9"/>
        <v>0.2043908312926859</v>
      </c>
      <c r="J54" s="9">
        <f t="shared" si="9"/>
        <v>0.20986399805418426</v>
      </c>
      <c r="K54" s="9">
        <f t="shared" si="9"/>
        <v>0.21489477935177542</v>
      </c>
      <c r="L54" s="9">
        <f t="shared" si="9"/>
        <v>0.21703796548422732</v>
      </c>
      <c r="M54" s="9">
        <f t="shared" si="9"/>
        <v>0.21942314209728359</v>
      </c>
      <c r="N54" s="9">
        <f>+N25+N26</f>
        <v>0.22333743687510446</v>
      </c>
    </row>
    <row r="55" spans="1:14" ht="12.75">
      <c r="A55" s="4" t="s">
        <v>25</v>
      </c>
      <c r="B55" s="9">
        <f aca="true" t="shared" si="10" ref="B55:M55">SUM(B27:B43)</f>
        <v>0.8550532472117821</v>
      </c>
      <c r="C55" s="9">
        <f t="shared" si="10"/>
        <v>0.8522251989329364</v>
      </c>
      <c r="D55" s="9">
        <f t="shared" si="10"/>
        <v>0.8470189079756256</v>
      </c>
      <c r="E55" s="9">
        <f t="shared" si="10"/>
        <v>0.8359584377415207</v>
      </c>
      <c r="F55" s="9">
        <f t="shared" si="10"/>
        <v>0.8250083382847527</v>
      </c>
      <c r="G55" s="9">
        <f t="shared" si="10"/>
        <v>0.8160583995198414</v>
      </c>
      <c r="H55" s="9">
        <f t="shared" si="10"/>
        <v>0.8045909086953338</v>
      </c>
      <c r="I55" s="9">
        <f t="shared" si="10"/>
        <v>0.7956091687073142</v>
      </c>
      <c r="J55" s="9">
        <f t="shared" si="10"/>
        <v>0.7901360019458157</v>
      </c>
      <c r="K55" s="9">
        <f t="shared" si="10"/>
        <v>0.7851052206482243</v>
      </c>
      <c r="L55" s="9">
        <f t="shared" si="10"/>
        <v>0.7829620345157727</v>
      </c>
      <c r="M55" s="9">
        <f t="shared" si="10"/>
        <v>0.7805768579027167</v>
      </c>
      <c r="N55" s="9">
        <f>SUM(N27:N43)</f>
        <v>0.7766625631248958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K1">
      <selection activeCell="O1" sqref="O1:AL16384"/>
    </sheetView>
  </sheetViews>
  <sheetFormatPr defaultColWidth="11.421875" defaultRowHeight="12.75"/>
  <cols>
    <col min="1" max="1" width="37.140625" style="0" customWidth="1"/>
    <col min="2" max="14" width="14.28125" style="0" customWidth="1"/>
  </cols>
  <sheetData>
    <row r="1" ht="12.75">
      <c r="A1" s="1"/>
    </row>
    <row r="2" spans="1:14" ht="12.75">
      <c r="A2" s="13" t="s">
        <v>37</v>
      </c>
      <c r="B2" s="44" t="s">
        <v>44</v>
      </c>
      <c r="C2" s="44" t="s">
        <v>45</v>
      </c>
      <c r="D2" s="44" t="s">
        <v>46</v>
      </c>
      <c r="E2" s="44" t="s">
        <v>47</v>
      </c>
      <c r="F2" s="44" t="s">
        <v>48</v>
      </c>
      <c r="G2" s="44" t="s">
        <v>49</v>
      </c>
      <c r="H2" s="44" t="s">
        <v>50</v>
      </c>
      <c r="I2" s="44" t="s">
        <v>51</v>
      </c>
      <c r="J2" s="44" t="s">
        <v>52</v>
      </c>
      <c r="K2" s="44" t="s">
        <v>53</v>
      </c>
      <c r="L2" s="44" t="s">
        <v>60</v>
      </c>
      <c r="M2" s="44" t="s">
        <v>61</v>
      </c>
      <c r="N2" s="44" t="s">
        <v>62</v>
      </c>
    </row>
    <row r="3" spans="1:14" ht="12.75">
      <c r="A3" s="14" t="s">
        <v>38</v>
      </c>
      <c r="B3" s="50">
        <f>'Tableau sortie'!C30</f>
        <v>23142.051</v>
      </c>
      <c r="C3" s="50">
        <f>'Tableau sortie'!D30</f>
        <v>23708.554</v>
      </c>
      <c r="D3" s="50">
        <f>'Tableau sortie'!E30</f>
        <v>24367.4845</v>
      </c>
      <c r="E3" s="50">
        <f>'Tableau sortie'!F30</f>
        <v>24674.0955</v>
      </c>
      <c r="F3" s="50">
        <f>'Tableau sortie'!G30</f>
        <v>25288.9355</v>
      </c>
      <c r="G3" s="50">
        <f>'Tableau sortie'!H30</f>
        <v>25871.4155</v>
      </c>
      <c r="H3" s="50">
        <f>'Tableau sortie'!I30</f>
        <v>26467.6485</v>
      </c>
      <c r="I3" s="50">
        <f>'Tableau sortie'!J30</f>
        <v>27079.2525</v>
      </c>
      <c r="J3" s="50">
        <f>'Tableau sortie'!K30</f>
        <v>27154.894</v>
      </c>
      <c r="K3" s="50">
        <f>'Tableau sortie'!L30</f>
        <v>26734.214</v>
      </c>
      <c r="L3" s="50">
        <f>'Tableau sortie'!M30</f>
        <v>27331.256</v>
      </c>
      <c r="M3" s="50">
        <f>'Tableau sortie'!N30</f>
        <v>28329.9665</v>
      </c>
      <c r="N3" s="50">
        <f>'Tableau sortie'!O30</f>
        <v>29226.3385</v>
      </c>
    </row>
    <row r="4" spans="1:14" ht="12.75">
      <c r="A4" s="15" t="s">
        <v>39</v>
      </c>
      <c r="B4" s="51">
        <f>'Tableau sortie'!C29</f>
        <v>16347.297</v>
      </c>
      <c r="C4" s="51">
        <f>'Tableau sortie'!D29</f>
        <v>16114.173</v>
      </c>
      <c r="D4" s="51">
        <f>'Tableau sortie'!E29</f>
        <v>15509.607</v>
      </c>
      <c r="E4" s="51">
        <f>'Tableau sortie'!F29</f>
        <v>14979.192</v>
      </c>
      <c r="F4" s="51">
        <f>'Tableau sortie'!G29</f>
        <v>14843.917</v>
      </c>
      <c r="G4" s="51">
        <f>'Tableau sortie'!H29</f>
        <v>14847.309</v>
      </c>
      <c r="H4" s="51">
        <f>'Tableau sortie'!I29</f>
        <v>14997.109</v>
      </c>
      <c r="I4" s="51">
        <f>'Tableau sortie'!J29</f>
        <v>14728.775</v>
      </c>
      <c r="J4" s="51">
        <f>'Tableau sortie'!K29</f>
        <v>14821.347</v>
      </c>
      <c r="K4" s="51">
        <f>'Tableau sortie'!L29</f>
        <v>15058.671</v>
      </c>
      <c r="L4" s="51">
        <f>'Tableau sortie'!M29</f>
        <v>15681.956</v>
      </c>
      <c r="M4" s="51">
        <f>'Tableau sortie'!N29</f>
        <v>16293.74</v>
      </c>
      <c r="N4" s="51">
        <f>'Tableau sortie'!O29</f>
        <v>16397.59</v>
      </c>
    </row>
    <row r="5" spans="1:14" ht="12.75">
      <c r="A5" s="16" t="s">
        <v>15</v>
      </c>
      <c r="B5" s="52">
        <f>'Tableau sortie'!C47</f>
        <v>270039.716</v>
      </c>
      <c r="C5" s="52">
        <f>'Tableau sortie'!D47</f>
        <v>270467.9285</v>
      </c>
      <c r="D5" s="52">
        <f>'Tableau sortie'!E47</f>
        <v>269913.965</v>
      </c>
      <c r="E5" s="52">
        <f>'Tableau sortie'!F47</f>
        <v>265639.6315</v>
      </c>
      <c r="F5" s="52">
        <f>'Tableau sortie'!G47</f>
        <v>261949.6695</v>
      </c>
      <c r="G5" s="52">
        <f>'Tableau sortie'!H47</f>
        <v>256536.242</v>
      </c>
      <c r="H5" s="52">
        <f>'Tableau sortie'!I47</f>
        <v>249675.364</v>
      </c>
      <c r="I5" s="52">
        <f>'Tableau sortie'!J47</f>
        <v>240603.871</v>
      </c>
      <c r="J5" s="52">
        <f>'Tableau sortie'!K47</f>
        <v>236265.989</v>
      </c>
      <c r="K5" s="52">
        <f>'Tableau sortie'!L47</f>
        <v>229578.59</v>
      </c>
      <c r="L5" s="52">
        <f>'Tableau sortie'!M47</f>
        <v>224327.8895</v>
      </c>
      <c r="M5" s="52">
        <f>'Tableau sortie'!N47</f>
        <v>222259.9345</v>
      </c>
      <c r="N5" s="52">
        <f>'Tableau sortie'!O47</f>
        <v>217159.835</v>
      </c>
    </row>
    <row r="6" spans="1:14" ht="12.75">
      <c r="A6" s="17" t="s">
        <v>40</v>
      </c>
      <c r="B6" s="53">
        <f>'Tableau sortie'!C48</f>
        <v>74642.1975</v>
      </c>
      <c r="C6" s="53">
        <f>'Tableau sortie'!D48</f>
        <v>72033.9585</v>
      </c>
      <c r="D6" s="53">
        <f>'Tableau sortie'!E48</f>
        <v>70986.0405</v>
      </c>
      <c r="E6" s="53">
        <f>'Tableau sortie'!F48</f>
        <v>68704.653</v>
      </c>
      <c r="F6" s="53">
        <f>'Tableau sortie'!G48</f>
        <v>67353.4425</v>
      </c>
      <c r="G6" s="53">
        <f>'Tableau sortie'!H48</f>
        <v>67483.6275</v>
      </c>
      <c r="H6" s="53">
        <f>'Tableau sortie'!I48</f>
        <v>66168.642</v>
      </c>
      <c r="I6" s="53">
        <f>'Tableau sortie'!J48</f>
        <v>63675.0525</v>
      </c>
      <c r="J6" s="53">
        <f>'Tableau sortie'!K48</f>
        <v>62758.731</v>
      </c>
      <c r="K6" s="53">
        <f>'Tableau sortie'!L48</f>
        <v>61716.6765</v>
      </c>
      <c r="L6" s="53">
        <f>'Tableau sortie'!M48</f>
        <v>62751.3525</v>
      </c>
      <c r="M6" s="53">
        <f>'Tableau sortie'!N48</f>
        <v>62920.728</v>
      </c>
      <c r="N6" s="53">
        <f>'Tableau sortie'!O48</f>
        <v>63146.364</v>
      </c>
    </row>
    <row r="7" spans="1:14" ht="13.5" thickBot="1">
      <c r="A7" s="36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38" customFormat="1" ht="13.5" thickTop="1">
      <c r="A8" s="37" t="s">
        <v>64</v>
      </c>
      <c r="B8" s="55">
        <f>SUM(B3:B6)</f>
        <v>384171.2615</v>
      </c>
      <c r="C8" s="55">
        <f aca="true" t="shared" si="0" ref="C8:N8">SUM(C3:C6)</f>
        <v>382324.614</v>
      </c>
      <c r="D8" s="55">
        <f t="shared" si="0"/>
        <v>380777.097</v>
      </c>
      <c r="E8" s="55">
        <f t="shared" si="0"/>
        <v>373997.572</v>
      </c>
      <c r="F8" s="55">
        <f t="shared" si="0"/>
        <v>369435.9645</v>
      </c>
      <c r="G8" s="55">
        <f t="shared" si="0"/>
        <v>364738.594</v>
      </c>
      <c r="H8" s="55">
        <f t="shared" si="0"/>
        <v>357308.7635</v>
      </c>
      <c r="I8" s="55">
        <f t="shared" si="0"/>
        <v>346086.951</v>
      </c>
      <c r="J8" s="55">
        <f t="shared" si="0"/>
        <v>341000.961</v>
      </c>
      <c r="K8" s="55">
        <f t="shared" si="0"/>
        <v>333088.1515</v>
      </c>
      <c r="L8" s="55">
        <f t="shared" si="0"/>
        <v>330092.45399999997</v>
      </c>
      <c r="M8" s="55">
        <f t="shared" si="0"/>
        <v>329804.369</v>
      </c>
      <c r="N8" s="55">
        <f t="shared" si="0"/>
        <v>325930.1275</v>
      </c>
    </row>
    <row r="9" s="18" customFormat="1" ht="12.75"/>
    <row r="10" s="18" customFormat="1" ht="12.75">
      <c r="A10" s="18" t="s">
        <v>55</v>
      </c>
    </row>
    <row r="11" spans="1:14" ht="12.75">
      <c r="A11" s="13" t="s">
        <v>37</v>
      </c>
      <c r="B11" s="44" t="s">
        <v>44</v>
      </c>
      <c r="C11" s="44" t="s">
        <v>45</v>
      </c>
      <c r="D11" s="44" t="s">
        <v>46</v>
      </c>
      <c r="E11" s="44" t="s">
        <v>47</v>
      </c>
      <c r="F11" s="44" t="s">
        <v>48</v>
      </c>
      <c r="G11" s="44" t="s">
        <v>49</v>
      </c>
      <c r="H11" s="44" t="s">
        <v>50</v>
      </c>
      <c r="I11" s="44" t="s">
        <v>51</v>
      </c>
      <c r="J11" s="44" t="s">
        <v>52</v>
      </c>
      <c r="K11" s="44" t="s">
        <v>53</v>
      </c>
      <c r="L11" s="44" t="s">
        <v>60</v>
      </c>
      <c r="M11" s="44" t="s">
        <v>61</v>
      </c>
      <c r="N11" s="44" t="s">
        <v>62</v>
      </c>
    </row>
    <row r="12" spans="1:14" ht="12.75">
      <c r="A12" s="14" t="s">
        <v>38</v>
      </c>
      <c r="B12" s="39">
        <f>B3/B$8</f>
        <v>0.060238891659000364</v>
      </c>
      <c r="C12" s="39">
        <f aca="true" t="shared" si="1" ref="C12:N12">C3/C$8</f>
        <v>0.06201158160327078</v>
      </c>
      <c r="D12" s="39">
        <f t="shared" si="1"/>
        <v>0.06399409179801588</v>
      </c>
      <c r="E12" s="39">
        <f t="shared" si="1"/>
        <v>0.0659739456811233</v>
      </c>
      <c r="F12" s="39">
        <f t="shared" si="1"/>
        <v>0.06845282519861436</v>
      </c>
      <c r="G12" s="39">
        <f t="shared" si="1"/>
        <v>0.07093139011222925</v>
      </c>
      <c r="H12" s="39">
        <f t="shared" si="1"/>
        <v>0.07407500516006796</v>
      </c>
      <c r="I12" s="39">
        <f t="shared" si="1"/>
        <v>0.07824407254233633</v>
      </c>
      <c r="J12" s="39">
        <f t="shared" si="1"/>
        <v>0.07963289581462499</v>
      </c>
      <c r="K12" s="39">
        <f t="shared" si="1"/>
        <v>0.08026167811616079</v>
      </c>
      <c r="L12" s="39">
        <f t="shared" si="1"/>
        <v>0.08279879066850769</v>
      </c>
      <c r="M12" s="39">
        <f t="shared" si="1"/>
        <v>0.08589930626419323</v>
      </c>
      <c r="N12" s="39">
        <f t="shared" si="1"/>
        <v>0.0896705644371584</v>
      </c>
    </row>
    <row r="13" spans="1:14" ht="12.75">
      <c r="A13" s="15" t="s">
        <v>39</v>
      </c>
      <c r="B13" s="41">
        <f>B4/B$8</f>
        <v>0.04255210797437538</v>
      </c>
      <c r="C13" s="41">
        <f aca="true" t="shared" si="2" ref="C13:N13">C4/C$8</f>
        <v>0.0421478827413398</v>
      </c>
      <c r="D13" s="41">
        <f t="shared" si="2"/>
        <v>0.04073145974953425</v>
      </c>
      <c r="E13" s="41">
        <f t="shared" si="2"/>
        <v>0.04005157552199296</v>
      </c>
      <c r="F13" s="41">
        <f t="shared" si="2"/>
        <v>0.04017994571830594</v>
      </c>
      <c r="G13" s="41">
        <f t="shared" si="2"/>
        <v>0.04070671227076123</v>
      </c>
      <c r="H13" s="41">
        <f t="shared" si="2"/>
        <v>0.04197240743019168</v>
      </c>
      <c r="I13" s="41">
        <f t="shared" si="2"/>
        <v>0.04255801889508397</v>
      </c>
      <c r="J13" s="41">
        <f t="shared" si="2"/>
        <v>0.04346423821368644</v>
      </c>
      <c r="K13" s="41">
        <f t="shared" si="2"/>
        <v>0.04520926647251216</v>
      </c>
      <c r="L13" s="41">
        <f t="shared" si="2"/>
        <v>0.04750776883860545</v>
      </c>
      <c r="M13" s="41">
        <f t="shared" si="2"/>
        <v>0.04940425758883746</v>
      </c>
      <c r="N13" s="41">
        <f t="shared" si="2"/>
        <v>0.05031013894227989</v>
      </c>
    </row>
    <row r="14" spans="1:14" ht="12.75">
      <c r="A14" s="16" t="s">
        <v>15</v>
      </c>
      <c r="B14" s="42">
        <f>B5/B$8</f>
        <v>0.7029149316001088</v>
      </c>
      <c r="C14" s="42">
        <f aca="true" t="shared" si="3" ref="C14:N14">C5/C$8</f>
        <v>0.707430070144529</v>
      </c>
      <c r="D14" s="42">
        <f t="shared" si="3"/>
        <v>0.7088503145975715</v>
      </c>
      <c r="E14" s="42">
        <f t="shared" si="3"/>
        <v>0.7102710054492012</v>
      </c>
      <c r="F14" s="42">
        <f t="shared" si="3"/>
        <v>0.7090529744566869</v>
      </c>
      <c r="G14" s="42">
        <f t="shared" si="3"/>
        <v>0.7033427397595331</v>
      </c>
      <c r="H14" s="42">
        <f t="shared" si="3"/>
        <v>0.6987664157864967</v>
      </c>
      <c r="I14" s="42">
        <f t="shared" si="3"/>
        <v>0.6952122011673304</v>
      </c>
      <c r="J14" s="42">
        <f t="shared" si="3"/>
        <v>0.6928601852239354</v>
      </c>
      <c r="K14" s="42">
        <f t="shared" si="3"/>
        <v>0.68924273939537</v>
      </c>
      <c r="L14" s="42">
        <f t="shared" si="3"/>
        <v>0.6795910866232647</v>
      </c>
      <c r="M14" s="42">
        <f t="shared" si="3"/>
        <v>0.6739144638196106</v>
      </c>
      <c r="N14" s="42">
        <f t="shared" si="3"/>
        <v>0.6662772682773855</v>
      </c>
    </row>
    <row r="15" spans="1:14" ht="12.75">
      <c r="A15" s="17" t="s">
        <v>40</v>
      </c>
      <c r="B15" s="43">
        <f>B6/B$8</f>
        <v>0.19429406876651545</v>
      </c>
      <c r="C15" s="43">
        <f aca="true" t="shared" si="4" ref="C15:N15">C6/C$8</f>
        <v>0.18841046551086035</v>
      </c>
      <c r="D15" s="43">
        <f t="shared" si="4"/>
        <v>0.18642413385487835</v>
      </c>
      <c r="E15" s="43">
        <f t="shared" si="4"/>
        <v>0.1837034733476826</v>
      </c>
      <c r="F15" s="43">
        <f t="shared" si="4"/>
        <v>0.18231425462639278</v>
      </c>
      <c r="G15" s="43">
        <f t="shared" si="4"/>
        <v>0.18501915785747644</v>
      </c>
      <c r="H15" s="43">
        <f t="shared" si="4"/>
        <v>0.18518617162324374</v>
      </c>
      <c r="I15" s="43">
        <f t="shared" si="4"/>
        <v>0.18398570739524933</v>
      </c>
      <c r="J15" s="43">
        <f t="shared" si="4"/>
        <v>0.18404268074775307</v>
      </c>
      <c r="K15" s="43">
        <f t="shared" si="4"/>
        <v>0.18528631601595713</v>
      </c>
      <c r="L15" s="43">
        <f t="shared" si="4"/>
        <v>0.19010235386962226</v>
      </c>
      <c r="M15" s="43">
        <f t="shared" si="4"/>
        <v>0.19078197232735872</v>
      </c>
      <c r="N15" s="43">
        <f t="shared" si="4"/>
        <v>0.1937420283431761</v>
      </c>
    </row>
    <row r="16" spans="1:14" ht="13.5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38" customFormat="1" ht="13.5" thickTop="1">
      <c r="A17" s="37" t="s">
        <v>64</v>
      </c>
      <c r="B17" s="40">
        <f>SUM(B12:B15)</f>
        <v>0.9999999999999999</v>
      </c>
      <c r="C17" s="40">
        <f aca="true" t="shared" si="5" ref="C17:N17">SUM(C12:C15)</f>
        <v>0.9999999999999999</v>
      </c>
      <c r="D17" s="40">
        <f t="shared" si="5"/>
        <v>1</v>
      </c>
      <c r="E17" s="40">
        <f t="shared" si="5"/>
        <v>1</v>
      </c>
      <c r="F17" s="40">
        <f t="shared" si="5"/>
        <v>1</v>
      </c>
      <c r="G17" s="40">
        <f t="shared" si="5"/>
        <v>1</v>
      </c>
      <c r="H17" s="40">
        <f t="shared" si="5"/>
        <v>1</v>
      </c>
      <c r="I17" s="40">
        <f t="shared" si="5"/>
        <v>1</v>
      </c>
      <c r="J17" s="40">
        <f t="shared" si="5"/>
        <v>1</v>
      </c>
      <c r="K17" s="40">
        <f t="shared" si="5"/>
        <v>1</v>
      </c>
      <c r="L17" s="40">
        <f t="shared" si="5"/>
        <v>1</v>
      </c>
      <c r="M17" s="40">
        <f t="shared" si="5"/>
        <v>1</v>
      </c>
      <c r="N17" s="40">
        <f t="shared" si="5"/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</dc:creator>
  <cp:keywords/>
  <dc:description/>
  <cp:lastModifiedBy>François PESTY</cp:lastModifiedBy>
  <cp:lastPrinted>2006-01-24T15:39:04Z</cp:lastPrinted>
  <dcterms:created xsi:type="dcterms:W3CDTF">2005-10-21T20:24:48Z</dcterms:created>
  <dcterms:modified xsi:type="dcterms:W3CDTF">2011-04-03T19:48:31Z</dcterms:modified>
  <cp:category/>
  <cp:version/>
  <cp:contentType/>
  <cp:contentStatus/>
</cp:coreProperties>
</file>