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4.xml" ContentType="application/vnd.openxmlformats-officedocument.drawingml.chartshapes+xml"/>
  <Override PartName="/xl/drawings/drawing2.xml" ContentType="application/vnd.openxmlformats-officedocument.drawingml.chartshapes+xml"/>
  <Override PartName="/xl/theme/theme1.xml" ContentType="application/vnd.openxmlformats-officedocument.theme+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20115" windowHeight="8010"/>
  </bookViews>
  <sheets>
    <sheet name="Tableau" sheetId="1" r:id="rId1"/>
    <sheet name="Multiples de coûts annuels de t" sheetId="5" r:id="rId2"/>
    <sheet name="Différentiels de coûts annuels" sheetId="6" r:id="rId3"/>
    <sheet name="Feuil2" sheetId="2" r:id="rId4"/>
    <sheet name="Feuil3" sheetId="3" r:id="rId5"/>
  </sheets>
  <calcPr calcId="125725"/>
</workbook>
</file>

<file path=xl/calcChain.xml><?xml version="1.0" encoding="utf-8"?>
<calcChain xmlns="http://schemas.openxmlformats.org/spreadsheetml/2006/main">
  <c r="S18" i="1"/>
  <c r="R18"/>
  <c r="V18"/>
  <c r="U18"/>
  <c r="U8"/>
  <c r="V8"/>
  <c r="U9"/>
  <c r="V9"/>
  <c r="U10"/>
  <c r="V10"/>
  <c r="U11"/>
  <c r="V11"/>
  <c r="U12"/>
  <c r="V12"/>
  <c r="U13"/>
  <c r="V13"/>
  <c r="U14"/>
  <c r="V14"/>
  <c r="U15"/>
  <c r="V15"/>
  <c r="U16"/>
  <c r="V16"/>
  <c r="U17"/>
  <c r="V17"/>
  <c r="V7"/>
  <c r="U7"/>
  <c r="R8"/>
  <c r="S8"/>
  <c r="R9"/>
  <c r="S9"/>
  <c r="R10"/>
  <c r="S10"/>
  <c r="R11"/>
  <c r="S11"/>
  <c r="R12"/>
  <c r="S12"/>
  <c r="R13"/>
  <c r="S13"/>
  <c r="R14"/>
  <c r="S14"/>
  <c r="R15"/>
  <c r="S15"/>
  <c r="R16"/>
  <c r="S16"/>
  <c r="R17"/>
  <c r="S17"/>
  <c r="S7"/>
  <c r="R7"/>
  <c r="N17"/>
  <c r="M17"/>
  <c r="N16"/>
  <c r="M16"/>
  <c r="M14"/>
  <c r="N14"/>
  <c r="N13"/>
  <c r="M13"/>
  <c r="M15"/>
  <c r="N15"/>
  <c r="M10"/>
  <c r="N12"/>
  <c r="M12"/>
  <c r="N11"/>
  <c r="M11"/>
  <c r="N10"/>
  <c r="N9"/>
  <c r="M9"/>
  <c r="N8"/>
  <c r="M8"/>
  <c r="N7" l="1"/>
  <c r="M7"/>
  <c r="N3"/>
  <c r="M3"/>
  <c r="N6"/>
  <c r="M6"/>
  <c r="N5"/>
  <c r="M5"/>
  <c r="N4"/>
  <c r="M4"/>
  <c r="N2"/>
  <c r="M2"/>
</calcChain>
</file>

<file path=xl/comments1.xml><?xml version="1.0" encoding="utf-8"?>
<comments xmlns="http://schemas.openxmlformats.org/spreadsheetml/2006/main">
  <authors>
    <author>fpesty</author>
  </authors>
  <commentList>
    <comment ref="L1" authorId="0">
      <text>
        <r>
          <rPr>
            <sz val="10"/>
            <color indexed="81"/>
            <rFont val="Arial"/>
            <family val="2"/>
          </rPr>
          <t>Pour les médicaments réservés à l'usage hospitalier, l'hôpital public facture 366,13 € et l'hôpital privé 216,99 €, au titre de "Chimiothérapie pour affection non tumorale, en séance" lors de l'hospitalisation de jour nécessaire à l'administration au patients des biothérapies (GHM : 28Z17Z, GHS : 9616)</t>
        </r>
      </text>
    </comment>
    <comment ref="C3" authorId="0">
      <text>
        <r>
          <rPr>
            <b/>
            <sz val="9"/>
            <color indexed="81"/>
            <rFont val="Tahoma"/>
            <family val="2"/>
          </rPr>
          <t>Le laboratoire MEDAC également commercialise une partie de la gamme METOJECT, notamment le dosage à 30 mg en stylo prérempli</t>
        </r>
        <r>
          <rPr>
            <sz val="9"/>
            <color indexed="81"/>
            <rFont val="Tahoma"/>
            <family val="2"/>
          </rPr>
          <t xml:space="preserve">
</t>
        </r>
      </text>
    </comment>
    <comment ref="F3" authorId="0">
      <text>
        <r>
          <rPr>
            <b/>
            <sz val="9"/>
            <color indexed="81"/>
            <rFont val="Tahoma"/>
            <family val="2"/>
          </rPr>
          <t>MEDAC propose un stylo prérempli dosé à 30 mg en boite unitaire à 26,49 € TTC</t>
        </r>
        <r>
          <rPr>
            <sz val="9"/>
            <color indexed="81"/>
            <rFont val="Tahoma"/>
            <family val="2"/>
          </rPr>
          <t xml:space="preserve">
</t>
        </r>
      </text>
    </comment>
    <comment ref="J3" authorId="0">
      <text>
        <r>
          <rPr>
            <b/>
            <sz val="9"/>
            <color indexed="81"/>
            <rFont val="Tahoma"/>
            <family val="2"/>
          </rPr>
          <t>NORDIC PHARMA couvre la gamme injectable de 7,5 mg à 25 mg, par paliers de 2,5 mg ; Mais c'est MEDAC qui commercialise le METOJECT 30 mg stylo en boite de 1 unité...</t>
        </r>
        <r>
          <rPr>
            <sz val="9"/>
            <color indexed="81"/>
            <rFont val="Tahoma"/>
            <family val="2"/>
          </rPr>
          <t xml:space="preserve">
</t>
        </r>
      </text>
    </comment>
    <comment ref="M7" authorId="0">
      <text>
        <r>
          <rPr>
            <b/>
            <sz val="9"/>
            <color indexed="81"/>
            <rFont val="Tahoma"/>
            <family val="2"/>
          </rPr>
          <t xml:space="preserve">Infliximab associé au méthotrexate </t>
        </r>
        <r>
          <rPr>
            <b/>
            <i/>
            <sz val="9"/>
            <color indexed="81"/>
            <rFont val="Tahoma"/>
            <family val="2"/>
          </rPr>
          <t>per os
A noter qu'au-delà de 67 kg, il est nécessaire d'ouvrir un second flacon pour respecter la posologie de 3 mg/kg</t>
        </r>
        <r>
          <rPr>
            <sz val="9"/>
            <color indexed="81"/>
            <rFont val="Tahoma"/>
            <family val="2"/>
          </rPr>
          <t xml:space="preserve">
</t>
        </r>
      </text>
    </comment>
    <comment ref="N7" authorId="0">
      <text>
        <r>
          <rPr>
            <b/>
            <sz val="9"/>
            <color indexed="81"/>
            <rFont val="Tahoma"/>
            <family val="2"/>
          </rPr>
          <t xml:space="preserve">Infliximab associé au méthotrexate </t>
        </r>
        <r>
          <rPr>
            <b/>
            <i/>
            <sz val="9"/>
            <color indexed="81"/>
            <rFont val="Tahoma"/>
            <family val="2"/>
          </rPr>
          <t>per os</t>
        </r>
        <r>
          <rPr>
            <sz val="9"/>
            <color indexed="81"/>
            <rFont val="Tahoma"/>
            <family val="2"/>
          </rPr>
          <t xml:space="preserve">
</t>
        </r>
        <r>
          <rPr>
            <b/>
            <sz val="9"/>
            <color indexed="81"/>
            <rFont val="Tahoma"/>
            <family val="2"/>
          </rPr>
          <t xml:space="preserve">
A noter qu'au-delà de 67 kg, il est nécessaire d'ouvrir un second flacon pour respecter la posologie de 3 mg/kg</t>
        </r>
      </text>
    </comment>
    <comment ref="M8" authorId="0">
      <text>
        <r>
          <rPr>
            <b/>
            <sz val="9"/>
            <color indexed="81"/>
            <rFont val="Tahoma"/>
            <family val="2"/>
          </rPr>
          <t xml:space="preserve">Coût calculé à l'hôpital avec les UCD. Très peu employé en établissement sanitaire. Moins d'un million d'euros de dépenses en 2015, sur les 273 Millions d'euros d'ENBREL qui est principalement utilisé en ville </t>
        </r>
        <r>
          <rPr>
            <sz val="9"/>
            <color indexed="81"/>
            <rFont val="Tahoma"/>
            <family val="2"/>
          </rPr>
          <t xml:space="preserve">
</t>
        </r>
      </text>
    </comment>
    <comment ref="N8" authorId="0">
      <text>
        <r>
          <rPr>
            <b/>
            <sz val="9"/>
            <color indexed="81"/>
            <rFont val="Tahoma"/>
            <family val="2"/>
          </rPr>
          <t>Coût calculé à partir des boites de 4 seringues ou stylos, au dosage de 50 mg le plus employé (93% des dépenses 2015). Le 25 mg B4 est un peu plus onéreux, 10.607,74 € de coût annuel de traitement (7% des remboursements 2015)</t>
        </r>
        <r>
          <rPr>
            <sz val="9"/>
            <color indexed="81"/>
            <rFont val="Tahoma"/>
            <family val="2"/>
          </rPr>
          <t xml:space="preserve">
</t>
        </r>
      </text>
    </comment>
    <comment ref="M9" authorId="0">
      <text>
        <r>
          <rPr>
            <b/>
            <sz val="9"/>
            <color indexed="81"/>
            <rFont val="Tahoma"/>
            <family val="2"/>
          </rPr>
          <t>Ce biosimilaire d'étanercept ne permet de réaliser qu'une modique économie de 14,3% sur le princeps ENBREL. Encore que les rhumatologues seront réticents à le prescrire (pas d'avantages à percevoir, ni de conventions à signer !). D'ailleurs, malgré un prix applicable à compter du 25 mai 2016, à fin août 2016 BENEPALI n'avait toujours pas fait l'objet d'un seul remboursement en ville par l'assurance maladie (données MEDIC'AM mensuelles)</t>
        </r>
        <r>
          <rPr>
            <sz val="9"/>
            <color indexed="81"/>
            <rFont val="Tahoma"/>
            <family val="2"/>
          </rPr>
          <t xml:space="preserve">
</t>
        </r>
      </text>
    </comment>
    <comment ref="N9" authorId="0">
      <text>
        <r>
          <rPr>
            <b/>
            <sz val="9"/>
            <color indexed="81"/>
            <rFont val="Tahoma"/>
            <family val="2"/>
          </rPr>
          <t>Ce biosimilaire d'étanercept ne permet de réaliser qu'une modique économie de 14,3% sur le princeps ENBREL. Encore que les rhumatologues seront réticents à le prescrire (pas d'avantages à percevoir, ni de conventions à signer !). D'ailleurs, malgré un prix applicable à compter du 25 mai 2016, à fin août 2016 BENEPALI n'avait toujours pas fait l'objet d'un seul remboursement en ville par l'assurance maladie (données MEDIC'AM mensuelles)</t>
        </r>
        <r>
          <rPr>
            <sz val="9"/>
            <color indexed="81"/>
            <rFont val="Tahoma"/>
            <family val="2"/>
          </rPr>
          <t xml:space="preserve">
</t>
        </r>
      </text>
    </comment>
    <comment ref="M10" authorId="0">
      <text>
        <r>
          <rPr>
            <b/>
            <sz val="9"/>
            <color indexed="81"/>
            <rFont val="Tahoma"/>
            <family val="2"/>
          </rPr>
          <t>HUMIRA est très peu utilisé à l'hôpital (5 millions d'euros remboursés en 2015) et presqu'exclusivement en ville (453 millions d'euros en 2015). Les calculs de coûts annuels de traitement ont donc été faits sur la base des boites de 2 seringues ou 2 stylos disponibles en ville</t>
        </r>
        <r>
          <rPr>
            <sz val="9"/>
            <color indexed="81"/>
            <rFont val="Tahoma"/>
            <family val="2"/>
          </rPr>
          <t xml:space="preserve">
</t>
        </r>
      </text>
    </comment>
    <comment ref="N10" authorId="0">
      <text>
        <r>
          <rPr>
            <b/>
            <sz val="9"/>
            <color indexed="81"/>
            <rFont val="Tahoma"/>
            <family val="2"/>
          </rPr>
          <t>HUMIRA est très peu utilisé à l'hôpital (5 millions d'euros remboursés en 2015) et presqu'exclusivement en ville (453 millions d'euros en 2015). Les calculs de coûts annuels de traitement ont donc été faits sur la base des boites de 2 seringues ou 2 stylos disponibles en ville</t>
        </r>
        <r>
          <rPr>
            <sz val="9"/>
            <color indexed="81"/>
            <rFont val="Tahoma"/>
            <family val="2"/>
          </rPr>
          <t xml:space="preserve">
</t>
        </r>
      </text>
    </comment>
    <comment ref="M11" authorId="0">
      <text>
        <r>
          <rPr>
            <b/>
            <sz val="9"/>
            <color indexed="81"/>
            <rFont val="Tahoma"/>
            <family val="2"/>
          </rPr>
          <t>CIMZIA est également utilisé presque uniquement en ville. L'hôpital ne représentait que 275.000 € de remboursements contre 33,8 millions d'euros pour les délivrances en ville. Le coût annuel de traitement a donc été valorisé sur la base de l'utilisation des boites de 2 seringues préremplies pour injection sous-cutanée</t>
        </r>
        <r>
          <rPr>
            <sz val="9"/>
            <color indexed="81"/>
            <rFont val="Tahoma"/>
            <family val="2"/>
          </rPr>
          <t xml:space="preserve">
</t>
        </r>
      </text>
    </comment>
    <comment ref="N11" authorId="0">
      <text>
        <r>
          <rPr>
            <b/>
            <sz val="9"/>
            <color indexed="81"/>
            <rFont val="Tahoma"/>
            <family val="2"/>
          </rPr>
          <t>CIMZIA est également utilisé presque uniquement en ville. L'hôpital ne représentait que 275.000 € de remboursements contre 33,8 millions d'euros pour les délivrances en ville. Le coût annuel de traitement a donc été valorisé sur la base de l'utilisation des boites de 2 seringues préremplies pour injection sous-cutanée</t>
        </r>
        <r>
          <rPr>
            <sz val="9"/>
            <color indexed="81"/>
            <rFont val="Tahoma"/>
            <family val="2"/>
          </rPr>
          <t xml:space="preserve">
</t>
        </r>
      </text>
    </comment>
    <comment ref="J12" authorId="0">
      <text>
        <r>
          <rPr>
            <b/>
            <sz val="9"/>
            <color indexed="81"/>
            <rFont val="Tahoma"/>
            <family val="2"/>
          </rPr>
          <t>845,39 € est le tarif de responsabilité à l'hôpital ; 934,11 € contitue le prix TTC en ville</t>
        </r>
        <r>
          <rPr>
            <sz val="9"/>
            <color indexed="81"/>
            <rFont val="Tahoma"/>
            <family val="2"/>
          </rPr>
          <t xml:space="preserve">
</t>
        </r>
      </text>
    </comment>
    <comment ref="M12" authorId="0">
      <text>
        <r>
          <rPr>
            <b/>
            <sz val="9"/>
            <color indexed="81"/>
            <rFont val="Tahoma"/>
            <family val="2"/>
          </rPr>
          <t>SIMPONI est presque uniquement délivré par les officines de ville (80,1 millions d'euros de remboursement en 2015, contre seulement 1,2 millions à l'hôpital. Nous avons valorisé le coût annuel de traitement sur la base du prix TTC ville</t>
        </r>
        <r>
          <rPr>
            <sz val="9"/>
            <color indexed="81"/>
            <rFont val="Tahoma"/>
            <family val="2"/>
          </rPr>
          <t xml:space="preserve">
</t>
        </r>
      </text>
    </comment>
    <comment ref="N12" authorId="0">
      <text>
        <r>
          <rPr>
            <b/>
            <sz val="9"/>
            <color indexed="81"/>
            <rFont val="Tahoma"/>
            <family val="2"/>
          </rPr>
          <t>SIMPONI est presque uniquement délivré par les officines de ville (80,1 millions d'euros de remboursement en 2015, contre seulement 1,2 millions à l'hôpital. Nous avons valorisé le coût annuel de traitement sur la base du prix TTC ville</t>
        </r>
        <r>
          <rPr>
            <sz val="9"/>
            <color indexed="81"/>
            <rFont val="Tahoma"/>
            <family val="2"/>
          </rPr>
          <t xml:space="preserve">
</t>
        </r>
      </text>
    </comment>
    <comment ref="F13" authorId="0">
      <text>
        <r>
          <rPr>
            <b/>
            <sz val="9"/>
            <color indexed="81"/>
            <rFont val="Tahoma"/>
            <family val="2"/>
          </rPr>
          <t>La présentation 1400 mg pour injection sous-cutanée, n'a pas l'indication polyarthrite rhumatoïde, mais uniquement certaines hémopathies malignes. La forme 100 mg inj, n'est pas adaptée à la PR. Seule la présentation dosée à 500 mg est adaptée au traitement de fond de la PR...</t>
        </r>
        <r>
          <rPr>
            <sz val="9"/>
            <color indexed="81"/>
            <rFont val="Tahoma"/>
            <family val="2"/>
          </rPr>
          <t xml:space="preserve">
</t>
        </r>
      </text>
    </comment>
    <comment ref="M13" authorId="0">
      <text>
        <r>
          <rPr>
            <b/>
            <sz val="9"/>
            <color indexed="81"/>
            <rFont val="Tahoma"/>
            <family val="2"/>
          </rPr>
          <t xml:space="preserve">Il ne s'agit pas du coût annuel mais du coût par cycle. Les cycles devant être espacés d'au moins 24 semaines, nous pouvons considérer que le traitement puisse comprendre un maximum de 2 cycles dans l'année. Nous avons pris ici l'hypothèse d'un seule cycle de 2 administrations de 1000 mg de rituximab, associé au méthotrexate </t>
        </r>
        <r>
          <rPr>
            <b/>
            <i/>
            <sz val="9"/>
            <color indexed="81"/>
            <rFont val="Tahoma"/>
            <family val="2"/>
          </rPr>
          <t>per os</t>
        </r>
        <r>
          <rPr>
            <b/>
            <sz val="9"/>
            <color indexed="81"/>
            <rFont val="Tahoma"/>
            <family val="2"/>
          </rPr>
          <t>, avec 2 facturation T2A "chimiothérapie pour affection non tumorale en séance"</t>
        </r>
      </text>
    </comment>
    <comment ref="N13" authorId="0">
      <text>
        <r>
          <rPr>
            <b/>
            <sz val="9"/>
            <color indexed="81"/>
            <rFont val="Tahoma"/>
            <family val="2"/>
          </rPr>
          <t>Nous avons pris l'hypothèse haute de 2 cycles dans l'année, soient 4 administrations de 1000 mg de rituximab concommittante au méthotrexate injectable, et donc, 4 facturations de "chimiothérapie pour affection non tumorale, en séance"</t>
        </r>
        <r>
          <rPr>
            <sz val="9"/>
            <color indexed="81"/>
            <rFont val="Tahoma"/>
            <family val="2"/>
          </rPr>
          <t xml:space="preserve">
</t>
        </r>
      </text>
    </comment>
    <comment ref="F14" authorId="0">
      <text>
        <r>
          <rPr>
            <b/>
            <sz val="9"/>
            <color indexed="81"/>
            <rFont val="Tahoma"/>
            <family val="2"/>
          </rPr>
          <t>La présentation 162 mg pour injection sous-cutanée, est récente, commercialisée depuis le 4 mai 2015</t>
        </r>
        <r>
          <rPr>
            <sz val="9"/>
            <color indexed="81"/>
            <rFont val="Tahoma"/>
            <family val="2"/>
          </rPr>
          <t xml:space="preserve">
</t>
        </r>
      </text>
    </comment>
    <comment ref="M14" authorId="0">
      <text>
        <r>
          <rPr>
            <b/>
            <sz val="9"/>
            <color indexed="81"/>
            <rFont val="Tahoma"/>
            <family val="2"/>
          </rPr>
          <t>Hypothèse de calcul : Pour un sujet de 70 kg, à la posologie minimale de 4mg/kg, soient 280 mg de tolicizumab prélevés dans un flacon de 200 mg (20 mg/ml dans 10 ml) + un flacon de 80 mg (20 mg/ml dans 4 ml) administrés par perfusion veineuse une semaine sur 4, avec facturation d'une "chimiothérapie pour affection non tumorale, en séance" en association avec du méthotrexate "</t>
        </r>
        <r>
          <rPr>
            <b/>
            <i/>
            <sz val="9"/>
            <color indexed="81"/>
            <rFont val="Tahoma"/>
            <family val="2"/>
          </rPr>
          <t>per os</t>
        </r>
        <r>
          <rPr>
            <b/>
            <sz val="9"/>
            <color indexed="81"/>
            <rFont val="Tahoma"/>
            <family val="2"/>
          </rPr>
          <t>"</t>
        </r>
        <r>
          <rPr>
            <sz val="9"/>
            <color indexed="81"/>
            <rFont val="Tahoma"/>
            <family val="2"/>
          </rPr>
          <t xml:space="preserve">
</t>
        </r>
      </text>
    </comment>
    <comment ref="N14" authorId="0">
      <text>
        <r>
          <rPr>
            <b/>
            <sz val="9"/>
            <color indexed="81"/>
            <rFont val="Tahoma"/>
            <family val="2"/>
          </rPr>
          <t>Hypothèse de calcul : posologie maximale de 800 mg de tolicizumab administrés toutes les 4 semaines en moyen de deux flacons de 400 mg (20 mg/ml dans 20 ml) lors d'une "chimiothérapie pour affection non tumorale, en séance", en association avec du méthotrexate injectable</t>
        </r>
        <r>
          <rPr>
            <sz val="9"/>
            <color indexed="81"/>
            <rFont val="Tahoma"/>
            <family val="2"/>
          </rPr>
          <t xml:space="preserve">
</t>
        </r>
      </text>
    </comment>
    <comment ref="F15" authorId="0">
      <text>
        <r>
          <rPr>
            <b/>
            <sz val="9"/>
            <color indexed="81"/>
            <rFont val="Tahoma"/>
            <family val="2"/>
          </rPr>
          <t xml:space="preserve">Dès sa première année de commercialisation (mai 2015) la seringue préremplie et dosée à 162 mg de tolicizumab a fait l'objet de plus de 11 millions d'euros de remboursements en ville, contre à peine 20.000 euros à l'hôpital. </t>
        </r>
        <r>
          <rPr>
            <sz val="9"/>
            <color indexed="81"/>
            <rFont val="Tahoma"/>
            <family val="2"/>
          </rPr>
          <t xml:space="preserve">
</t>
        </r>
      </text>
    </comment>
    <comment ref="M15" authorId="0">
      <text>
        <r>
          <rPr>
            <b/>
            <sz val="9"/>
            <color indexed="81"/>
            <rFont val="Tahoma"/>
            <family val="2"/>
          </rPr>
          <t>Hypothèse de calcul : En association au méthotrexate "</t>
        </r>
        <r>
          <rPr>
            <b/>
            <i/>
            <sz val="9"/>
            <color indexed="81"/>
            <rFont val="Tahoma"/>
            <family val="2"/>
          </rPr>
          <t>per os</t>
        </r>
        <r>
          <rPr>
            <b/>
            <sz val="9"/>
            <color indexed="81"/>
            <rFont val="Tahoma"/>
            <family val="2"/>
          </rPr>
          <t xml:space="preserve">" une injection SC de tocilizumab 162 mg par semaine à partir des boites de 4 seringues préremplies </t>
        </r>
        <r>
          <rPr>
            <sz val="9"/>
            <color indexed="81"/>
            <rFont val="Tahoma"/>
            <family val="2"/>
          </rPr>
          <t xml:space="preserve">
</t>
        </r>
      </text>
    </comment>
    <comment ref="N15" authorId="0">
      <text>
        <r>
          <rPr>
            <b/>
            <sz val="9"/>
            <color indexed="81"/>
            <rFont val="Tahoma"/>
            <family val="2"/>
          </rPr>
          <t xml:space="preserve">Hypothèse de calcul : 13 administrations (52/4) à l'aide d'une seringue préremplie dosée à 162 mg de tolicizumab en boite unitaire, associé au méthotrexate injectable </t>
        </r>
        <r>
          <rPr>
            <sz val="9"/>
            <color indexed="81"/>
            <rFont val="Tahoma"/>
            <family val="2"/>
          </rPr>
          <t xml:space="preserve">
</t>
        </r>
      </text>
    </comment>
    <comment ref="B16" authorId="0">
      <text>
        <r>
          <rPr>
            <b/>
            <sz val="9"/>
            <color indexed="81"/>
            <rFont val="Tahoma"/>
            <family val="2"/>
          </rPr>
          <t>en 2015, sur 49 millions d'euros de dépenses remboursées, 27 millions en ville (données MEDIC'AM), et 22 millions à l'hôpital (Données ATIH)</t>
        </r>
        <r>
          <rPr>
            <sz val="9"/>
            <color indexed="81"/>
            <rFont val="Tahoma"/>
            <family val="2"/>
          </rPr>
          <t xml:space="preserve">
</t>
        </r>
      </text>
    </comment>
    <comment ref="G16" authorId="0">
      <text>
        <r>
          <rPr>
            <b/>
            <sz val="9"/>
            <color indexed="81"/>
            <rFont val="Tahoma"/>
            <family val="2"/>
          </rPr>
          <t>Boites de 4 seringues préremplies ou stylo en ville, boite de 1 unité à l'hôpital</t>
        </r>
        <r>
          <rPr>
            <sz val="9"/>
            <color indexed="81"/>
            <rFont val="Tahoma"/>
            <family val="2"/>
          </rPr>
          <t xml:space="preserve">
</t>
        </r>
      </text>
    </comment>
    <comment ref="J16" authorId="0">
      <text>
        <r>
          <rPr>
            <b/>
            <sz val="9"/>
            <color indexed="81"/>
            <rFont val="Tahoma"/>
            <family val="2"/>
          </rPr>
          <t>Boites de 4 seringues préremplies ou stylo en ville, boite de 1 unité à l'hôpital</t>
        </r>
        <r>
          <rPr>
            <sz val="9"/>
            <color indexed="81"/>
            <rFont val="Tahoma"/>
            <family val="2"/>
          </rPr>
          <t xml:space="preserve">
</t>
        </r>
      </text>
    </comment>
    <comment ref="D17" authorId="0">
      <text>
        <r>
          <rPr>
            <b/>
            <sz val="9"/>
            <color indexed="81"/>
            <rFont val="Tahoma"/>
            <family val="2"/>
          </rPr>
          <t>Le stylo prérempli à 125 mg n'est commercialisé que depuis mai 2016, et la seringue est guère plus ancienne, commercialisée en avril 2014</t>
        </r>
      </text>
    </comment>
    <comment ref="G17" authorId="0">
      <text>
        <r>
          <rPr>
            <b/>
            <sz val="9"/>
            <color indexed="81"/>
            <rFont val="Tahoma"/>
            <family val="2"/>
          </rPr>
          <t>Boites de 4 seringues préremplies ou stylo en ville, boite de 1 unité à l'hôpital</t>
        </r>
        <r>
          <rPr>
            <sz val="9"/>
            <color indexed="81"/>
            <rFont val="Tahoma"/>
            <family val="2"/>
          </rPr>
          <t xml:space="preserve">
</t>
        </r>
      </text>
    </comment>
    <comment ref="J17" authorId="0">
      <text>
        <r>
          <rPr>
            <b/>
            <sz val="9"/>
            <color indexed="81"/>
            <rFont val="Tahoma"/>
            <family val="2"/>
          </rPr>
          <t>Boites de 4 seringues préremplies ou stylo en ville, boite de 1 unité à l'hôpital, mais uniquement pour des patients hospitalisés (non remboursable en rétrocession)</t>
        </r>
        <r>
          <rPr>
            <sz val="9"/>
            <color indexed="81"/>
            <rFont val="Tahoma"/>
            <family val="2"/>
          </rPr>
          <t xml:space="preserve">
</t>
        </r>
      </text>
    </comment>
    <comment ref="L17" authorId="0">
      <text>
        <r>
          <rPr>
            <b/>
            <sz val="9"/>
            <color indexed="81"/>
            <rFont val="Tahoma"/>
            <family val="2"/>
          </rPr>
          <t>Uniquement pour une dose de charge de 250 mg administrée par perfusion</t>
        </r>
        <r>
          <rPr>
            <sz val="9"/>
            <color indexed="81"/>
            <rFont val="Tahoma"/>
            <family val="2"/>
          </rPr>
          <t xml:space="preserve">
</t>
        </r>
      </text>
    </comment>
    <comment ref="M17" authorId="0">
      <text>
        <r>
          <rPr>
            <b/>
            <sz val="9"/>
            <color indexed="81"/>
            <rFont val="Tahoma"/>
            <family val="2"/>
          </rPr>
          <t xml:space="preserve">La seringue préremplie dosée à 125 mg d'abatacept représentait en 2015 déjà 26,9 millions d'euros de remboursements en ville après moins de deux ans de commercialisation, contre un total de 22,5 millions d'euros remboursés à l'hôpital </t>
        </r>
        <r>
          <rPr>
            <sz val="9"/>
            <color indexed="81"/>
            <rFont val="Tahoma"/>
            <family val="2"/>
          </rPr>
          <t xml:space="preserve">
</t>
        </r>
      </text>
    </comment>
    <comment ref="N17" authorId="0">
      <text>
        <r>
          <rPr>
            <b/>
            <sz val="9"/>
            <color indexed="81"/>
            <rFont val="Tahoma"/>
            <family val="2"/>
          </rPr>
          <t xml:space="preserve">Base de calcul : injection sous-cutanée d'une dose de 125 mg d'abatacept par semaine en association au méthotrexate injectable, avec une première dose de charge de 250 mg administrée par perfusion lors d'une "chimiothérapie pour affection non tumorale, en séance" 
</t>
        </r>
      </text>
    </comment>
  </commentList>
</comments>
</file>

<file path=xl/sharedStrings.xml><?xml version="1.0" encoding="utf-8"?>
<sst xmlns="http://schemas.openxmlformats.org/spreadsheetml/2006/main" count="191" uniqueCount="156">
  <si>
    <t>Princeps, biosimilaires</t>
  </si>
  <si>
    <t>DCI</t>
  </si>
  <si>
    <t>Shéma posologique mini</t>
  </si>
  <si>
    <t>Shéma posologique maxi</t>
  </si>
  <si>
    <t>Nbre unités par boite</t>
  </si>
  <si>
    <t>Prix TTC par boite</t>
  </si>
  <si>
    <t>Date application du prix</t>
  </si>
  <si>
    <t>Coût annuel posologie mini</t>
  </si>
  <si>
    <t>Coût annuel posologie maxi</t>
  </si>
  <si>
    <t>100 mg</t>
  </si>
  <si>
    <t>méthotrexate</t>
  </si>
  <si>
    <t>hydroxychloroquine</t>
  </si>
  <si>
    <t>sulfasalazine</t>
  </si>
  <si>
    <t>25 mg, 
50 mg</t>
  </si>
  <si>
    <t>Voies d'admin</t>
  </si>
  <si>
    <t>Orale</t>
  </si>
  <si>
    <t>Firmes</t>
  </si>
  <si>
    <t>NORDIC PHARMA,
SANOFI-AVENTIS,
PFIZER</t>
  </si>
  <si>
    <t>Dosages</t>
  </si>
  <si>
    <t>7,5 mg/semaine</t>
  </si>
  <si>
    <t>30 mg/semaine</t>
  </si>
  <si>
    <t>IMETH®,
MTX BELLON®,
NOVATREX®</t>
  </si>
  <si>
    <t>Formes</t>
  </si>
  <si>
    <t>cpr.</t>
  </si>
  <si>
    <t>2,5 mg ;10 mg,
2,5 mg
2,5 mg</t>
  </si>
  <si>
    <t>B24, B10
B20
B12</t>
  </si>
  <si>
    <t>4,80 € ; 8,90 €
4,27 €
2,60 €</t>
  </si>
  <si>
    <t>Recette T2A</t>
  </si>
  <si>
    <t>366,13 € /  216,99 €</t>
  </si>
  <si>
    <r>
      <t>HUMIRA</t>
    </r>
    <r>
      <rPr>
        <sz val="8"/>
        <color theme="1"/>
        <rFont val="Calibri"/>
        <family val="2"/>
      </rPr>
      <t>®</t>
    </r>
  </si>
  <si>
    <t>ABBVIE</t>
  </si>
  <si>
    <r>
      <t>CIMZIA</t>
    </r>
    <r>
      <rPr>
        <sz val="8"/>
        <color theme="1"/>
        <rFont val="Calibri"/>
        <family val="2"/>
      </rPr>
      <t>®</t>
    </r>
  </si>
  <si>
    <t>UCB PHARMA</t>
  </si>
  <si>
    <r>
      <t>SIMPONI</t>
    </r>
    <r>
      <rPr>
        <sz val="8"/>
        <color theme="1"/>
        <rFont val="Calibri"/>
        <family val="2"/>
      </rPr>
      <t>®</t>
    </r>
  </si>
  <si>
    <t>MSD</t>
  </si>
  <si>
    <t>PFIZER</t>
  </si>
  <si>
    <r>
      <t>MABTHERA</t>
    </r>
    <r>
      <rPr>
        <sz val="8"/>
        <color theme="1"/>
        <rFont val="Calibri"/>
        <family val="2"/>
      </rPr>
      <t>®</t>
    </r>
  </si>
  <si>
    <t>ROCHE</t>
  </si>
  <si>
    <r>
      <t>ROACTEMRA</t>
    </r>
    <r>
      <rPr>
        <sz val="8"/>
        <color theme="1"/>
        <rFont val="Calibri"/>
        <family val="2"/>
      </rPr>
      <t>®</t>
    </r>
  </si>
  <si>
    <r>
      <t>ORANCIA</t>
    </r>
    <r>
      <rPr>
        <sz val="8"/>
        <color theme="1"/>
        <rFont val="Calibri"/>
        <family val="2"/>
      </rPr>
      <t>®</t>
    </r>
  </si>
  <si>
    <t>BMS</t>
  </si>
  <si>
    <t>IV perf</t>
  </si>
  <si>
    <t>250 mg,</t>
  </si>
  <si>
    <t>Fl. perf,</t>
  </si>
  <si>
    <t>B1</t>
  </si>
  <si>
    <t>500 mg sem 1, 3, 5, puis 1sem/4</t>
  </si>
  <si>
    <t>1000 mg sem 1, 3, 5, puis 1sem/4</t>
  </si>
  <si>
    <t xml:space="preserve">11/03/2016
</t>
  </si>
  <si>
    <t>Ser.,
Stylo</t>
  </si>
  <si>
    <t>125 mg,
125 mg</t>
  </si>
  <si>
    <t>B4 / B1
B4 / B1</t>
  </si>
  <si>
    <t>125 mg/semaine</t>
  </si>
  <si>
    <t>250 mg puis
125 mg/semaine</t>
  </si>
  <si>
    <t xml:space="preserve">947,88 € / 214,59 €
947,88 € / 214,59 €
</t>
  </si>
  <si>
    <t>SC
SC</t>
  </si>
  <si>
    <r>
      <t>PLAQUENIL</t>
    </r>
    <r>
      <rPr>
        <sz val="8"/>
        <color theme="1"/>
        <rFont val="Calibri"/>
        <family val="2"/>
      </rPr>
      <t>®</t>
    </r>
  </si>
  <si>
    <r>
      <t>SALAZOPYRINE</t>
    </r>
    <r>
      <rPr>
        <sz val="8"/>
        <color theme="1"/>
        <rFont val="Calibri"/>
        <family val="2"/>
      </rPr>
      <t>®</t>
    </r>
  </si>
  <si>
    <t>SANOFI-AVENTIS</t>
  </si>
  <si>
    <t>200 mg</t>
  </si>
  <si>
    <t>B30</t>
  </si>
  <si>
    <t>01/01/2016</t>
  </si>
  <si>
    <t>200 mg/j</t>
  </si>
  <si>
    <t>400 mg/j</t>
  </si>
  <si>
    <t>500 mg</t>
  </si>
  <si>
    <t>B100</t>
  </si>
  <si>
    <t>1000 mg/j</t>
  </si>
  <si>
    <t>2000 mg/j</t>
  </si>
  <si>
    <t>IMETH® / METOJECT®
MTX BELLON®,
LEDERTREXATE®</t>
  </si>
  <si>
    <t>NORDIC PHARMA,
SANOFI-AVENTIS,
BIODIM</t>
  </si>
  <si>
    <t>Ser., Stylo
Amp Inj</t>
  </si>
  <si>
    <t>SC, SC
IM</t>
  </si>
  <si>
    <t>7,5 à 30 mg
5 mg, 25 mg, 50 mg/2ml
25 mg/1 ml</t>
  </si>
  <si>
    <t>B4 / B1
B1
B1</t>
  </si>
  <si>
    <t>59,34 € à 92,85 € (25 mg) en B4, et 26,49 € (30 mg) B1
7,94 €</t>
  </si>
  <si>
    <t>13/01/2016
26/10/2016
01/01/2016</t>
  </si>
  <si>
    <r>
      <t xml:space="preserve">Trithérapie </t>
    </r>
    <r>
      <rPr>
        <b/>
        <i/>
        <sz val="8"/>
        <color theme="1"/>
        <rFont val="Arial"/>
        <family val="2"/>
      </rPr>
      <t>per os</t>
    </r>
  </si>
  <si>
    <t>Ser.</t>
  </si>
  <si>
    <t>50 mg
100 mg</t>
  </si>
  <si>
    <t>Ser., Stylo
Ser., Stylo</t>
  </si>
  <si>
    <t>B1
B1</t>
  </si>
  <si>
    <t>IV perf
IV perf
SC</t>
  </si>
  <si>
    <t xml:space="preserve">Fl. perf,
Fl. perf,
Sol. Inj. SC
</t>
  </si>
  <si>
    <t>01/01/2010
10/04/2015
27/01/2016</t>
  </si>
  <si>
    <t>3 mg/kg =&gt; 200 mg sem 1, 3, 7, puis 1sem/8 (1/8)</t>
  </si>
  <si>
    <t>idem</t>
  </si>
  <si>
    <t>étanercept (+MTX)</t>
  </si>
  <si>
    <t>adalimumab (+MTX)</t>
  </si>
  <si>
    <t>certolizumab (+MTX)</t>
  </si>
  <si>
    <t>golimumab (+MTX)</t>
  </si>
  <si>
    <t>rituximab (+MTX)</t>
  </si>
  <si>
    <t>tocilizumab (+MTX)</t>
  </si>
  <si>
    <t>abatacept (+MTX)</t>
  </si>
  <si>
    <t>SC</t>
  </si>
  <si>
    <t>25 mg 2 x par semaine
50 mg/semaine</t>
  </si>
  <si>
    <t>B1, B4
B1, B4</t>
  </si>
  <si>
    <t xml:space="preserve">88,90 €, 407,99 €
177,80 €, 791,87 € </t>
  </si>
  <si>
    <t>19/05/2016, 01/09/2016
19/05/2016, 01/09/2016</t>
  </si>
  <si>
    <t>Fl, Ser., Stylo
Fl, Ser., Stylo</t>
  </si>
  <si>
    <t>Idem</t>
  </si>
  <si>
    <t>ENBREL®</t>
  </si>
  <si>
    <t>BENEPALI® (biosimilaire)</t>
  </si>
  <si>
    <t>BIOGEN IDEC</t>
  </si>
  <si>
    <t>Ser., Stylo</t>
  </si>
  <si>
    <t>50 mg</t>
  </si>
  <si>
    <t>B4</t>
  </si>
  <si>
    <t>50 mg/semaine</t>
  </si>
  <si>
    <t>25/05/2016</t>
  </si>
  <si>
    <t>40 mg 1 semaine sur 2</t>
  </si>
  <si>
    <t>40 mg/semaine</t>
  </si>
  <si>
    <t>Ser., Stylo
Ser., Stylo
Amp Inj</t>
  </si>
  <si>
    <t>40 mg
40 mg</t>
  </si>
  <si>
    <t>B1
B2</t>
  </si>
  <si>
    <t>366,16 €
859,38 €</t>
  </si>
  <si>
    <t>17/06/2016
19/10/2016</t>
  </si>
  <si>
    <t>Coûts annuels de traitement aux posologies minimales et maximales chez l'adulte dans la polyarthrite rhumatoïde</t>
  </si>
  <si>
    <t>Source des schémas posologiques = base de données médicamenteuse THERIAQUE®</t>
  </si>
  <si>
    <t>346,89
773,41 €</t>
  </si>
  <si>
    <t>31/05/2016
02/05/2016</t>
  </si>
  <si>
    <t>B1
B4</t>
  </si>
  <si>
    <t>200 mg
200 mg</t>
  </si>
  <si>
    <t>400 mg semaines 0, 2 et 4, puis soit 200 mg 1 semaine sur 2, soit 400 mg 1 semaine sur 4</t>
  </si>
  <si>
    <t>845,39 €
934,11 €</t>
  </si>
  <si>
    <t>29/09/2012
01/01/2016</t>
  </si>
  <si>
    <t>50 mg une fois par mois</t>
  </si>
  <si>
    <t>100 mg une fois par mois</t>
  </si>
  <si>
    <t>Cycle de 2 administrations de 1000 mg espacées de 2 semaines</t>
  </si>
  <si>
    <t>Evluation à la 24ème semaine de la nécessité de cycles supplémentaires</t>
  </si>
  <si>
    <r>
      <rPr>
        <sz val="8"/>
        <color rgb="FFFF0000"/>
        <rFont val="Arial"/>
        <family val="2"/>
      </rPr>
      <t>100 mg</t>
    </r>
    <r>
      <rPr>
        <sz val="8"/>
        <color theme="1"/>
        <rFont val="Arial"/>
        <family val="2"/>
      </rPr>
      <t xml:space="preserve">
500 mg
</t>
    </r>
    <r>
      <rPr>
        <sz val="8"/>
        <color rgb="FFFF0000"/>
        <rFont val="Arial"/>
        <family val="2"/>
      </rPr>
      <t>1400 mg/11,7 ml</t>
    </r>
    <r>
      <rPr>
        <sz val="8"/>
        <color theme="1"/>
        <rFont val="Arial"/>
        <family val="2"/>
      </rPr>
      <t xml:space="preserve">
</t>
    </r>
  </si>
  <si>
    <r>
      <rPr>
        <sz val="8"/>
        <color rgb="FFFF0000"/>
        <rFont val="Arial"/>
        <family val="2"/>
      </rPr>
      <t>B1</t>
    </r>
    <r>
      <rPr>
        <sz val="8"/>
        <color theme="1"/>
        <rFont val="Arial"/>
        <family val="2"/>
      </rPr>
      <t xml:space="preserve">
B1
</t>
    </r>
    <r>
      <rPr>
        <sz val="8"/>
        <color rgb="FFFF0000"/>
        <rFont val="Arial"/>
        <family val="2"/>
      </rPr>
      <t>B1</t>
    </r>
  </si>
  <si>
    <r>
      <rPr>
        <sz val="8"/>
        <color rgb="FFFF0000"/>
        <rFont val="Arial"/>
        <family val="2"/>
      </rPr>
      <t>269,21 €</t>
    </r>
    <r>
      <rPr>
        <sz val="8"/>
        <color theme="1"/>
        <rFont val="Arial"/>
        <family val="2"/>
      </rPr>
      <t xml:space="preserve">
1346,04 €
</t>
    </r>
    <r>
      <rPr>
        <sz val="8"/>
        <color rgb="FFFF0000"/>
        <rFont val="Arial"/>
        <family val="2"/>
      </rPr>
      <t>1777,56 €</t>
    </r>
    <r>
      <rPr>
        <sz val="8"/>
        <color theme="1"/>
        <rFont val="Arial"/>
        <family val="2"/>
      </rPr>
      <t xml:space="preserve">
</t>
    </r>
  </si>
  <si>
    <t>Fl. perf,
Fl. perf,
Fl. perf,</t>
  </si>
  <si>
    <t>162 mg/0,9 ml
162 mg/0,9 ml</t>
  </si>
  <si>
    <t>B4
B1</t>
  </si>
  <si>
    <t>990,39 €
224,62 €</t>
  </si>
  <si>
    <t>01/01/2016
27/01/2016</t>
  </si>
  <si>
    <t>316,23 €
632,46 €
126,49 €</t>
  </si>
  <si>
    <t>01/02/2016
01/02/2016
01/02/2016</t>
  </si>
  <si>
    <t>200 mg (20 mg/ml 10 ml)
400 mg (20 mg/ml 20 ml)
80 mg (20 mg/ml 4 ml)</t>
  </si>
  <si>
    <t>Ser.
Ser.</t>
  </si>
  <si>
    <t>162 mg/semaine</t>
  </si>
  <si>
    <t>B1
B1
B1</t>
  </si>
  <si>
    <t>IV perf
IV perf
IV perf</t>
  </si>
  <si>
    <t>4 mg/kg 1 semaine/4</t>
  </si>
  <si>
    <t>8 mg/kg 1 semaine/4
Poso max = 800 mg</t>
  </si>
  <si>
    <t>01/01/2016
29/04/2016</t>
  </si>
  <si>
    <t>poso mini</t>
  </si>
  <si>
    <t>poso max</t>
  </si>
  <si>
    <t>Multiples de coûts annuels de trt / trithérapie conventionnelle</t>
  </si>
  <si>
    <t>Différentiels de coûts annuels de trt / trithérapie conventionnelle</t>
  </si>
  <si>
    <t>Moyennes arithmétiques</t>
  </si>
  <si>
    <r>
      <t>REMICADE®, REMSIMA®, INFLECTRA®
FLIXABI</t>
    </r>
    <r>
      <rPr>
        <sz val="8"/>
        <color theme="1"/>
        <rFont val="Calibri"/>
        <family val="2"/>
      </rPr>
      <t>®</t>
    </r>
  </si>
  <si>
    <t>MSD
BIOGARAN
HOSPIRA
BIOGEN IDEC FRANCE</t>
  </si>
  <si>
    <t>390,30 €
390,30 €
390,30 €
390,30 €</t>
  </si>
  <si>
    <t>10/02/2016
10/02/2016
11/03/2016
19/10/2016</t>
  </si>
  <si>
    <t>infliximab (+MTX)</t>
  </si>
  <si>
    <t>Stratégies</t>
  </si>
</sst>
</file>

<file path=xl/styles.xml><?xml version="1.0" encoding="utf-8"?>
<styleSheet xmlns="http://schemas.openxmlformats.org/spreadsheetml/2006/main">
  <numFmts count="3">
    <numFmt numFmtId="8" formatCode="#,##0.00\ &quot;€&quot;;[Red]\-#,##0.00\ &quot;€&quot;"/>
    <numFmt numFmtId="164" formatCode="#,##0.00\ &quot;€&quot;"/>
    <numFmt numFmtId="165" formatCode="#,##0.0"/>
  </numFmts>
  <fonts count="11">
    <font>
      <sz val="11"/>
      <color theme="1"/>
      <name val="Calibri"/>
      <family val="2"/>
      <scheme val="minor"/>
    </font>
    <font>
      <sz val="8"/>
      <color theme="1"/>
      <name val="Arial"/>
      <family val="2"/>
    </font>
    <font>
      <sz val="8"/>
      <color theme="1"/>
      <name val="Calibri"/>
      <family val="2"/>
    </font>
    <font>
      <sz val="9"/>
      <color indexed="81"/>
      <name val="Tahoma"/>
      <family val="2"/>
    </font>
    <font>
      <b/>
      <sz val="9"/>
      <color indexed="81"/>
      <name val="Tahoma"/>
      <family val="2"/>
    </font>
    <font>
      <sz val="10"/>
      <color indexed="81"/>
      <name val="Arial"/>
      <family val="2"/>
    </font>
    <font>
      <b/>
      <sz val="8"/>
      <color theme="1"/>
      <name val="Arial"/>
      <family val="2"/>
    </font>
    <font>
      <b/>
      <i/>
      <sz val="8"/>
      <color theme="1"/>
      <name val="Arial"/>
      <family val="2"/>
    </font>
    <font>
      <b/>
      <i/>
      <sz val="9"/>
      <color indexed="81"/>
      <name val="Tahoma"/>
      <family val="2"/>
    </font>
    <font>
      <b/>
      <sz val="8"/>
      <color theme="0"/>
      <name val="Arial"/>
      <family val="2"/>
    </font>
    <font>
      <sz val="8"/>
      <color rgb="FFFF0000"/>
      <name val="Arial"/>
      <family val="2"/>
    </font>
  </fonts>
  <fills count="3">
    <fill>
      <patternFill patternType="none"/>
    </fill>
    <fill>
      <patternFill patternType="gray125"/>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theme="0"/>
      </left>
      <right style="thin">
        <color theme="0"/>
      </right>
      <top style="thin">
        <color indexed="64"/>
      </top>
      <bottom style="double">
        <color indexed="64"/>
      </bottom>
      <diagonal/>
    </border>
    <border>
      <left style="thin">
        <color theme="0"/>
      </left>
      <right/>
      <top style="thin">
        <color indexed="64"/>
      </top>
      <bottom style="double">
        <color indexed="64"/>
      </bottom>
      <diagonal/>
    </border>
    <border>
      <left/>
      <right/>
      <top style="thin">
        <color indexed="64"/>
      </top>
      <bottom style="double">
        <color indexed="64"/>
      </bottom>
      <diagonal/>
    </border>
  </borders>
  <cellStyleXfs count="1">
    <xf numFmtId="0" fontId="0" fillId="0" borderId="0"/>
  </cellStyleXfs>
  <cellXfs count="34">
    <xf numFmtId="0" fontId="0" fillId="0" borderId="0" xfId="0"/>
    <xf numFmtId="0" fontId="1" fillId="0" borderId="2" xfId="0" applyFont="1" applyBorder="1" applyAlignment="1">
      <alignment horizontal="left" vertical="top" wrapText="1"/>
    </xf>
    <xf numFmtId="164" fontId="1" fillId="0" borderId="2" xfId="0" applyNumberFormat="1" applyFont="1" applyBorder="1" applyAlignment="1">
      <alignment horizontal="righ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right" vertical="top" wrapText="1"/>
    </xf>
    <xf numFmtId="164" fontId="1" fillId="0" borderId="1" xfId="0" applyNumberFormat="1" applyFont="1" applyBorder="1" applyAlignment="1">
      <alignment horizontal="right" vertical="top" wrapText="1"/>
    </xf>
    <xf numFmtId="0" fontId="1" fillId="0" borderId="0" xfId="0" applyFont="1"/>
    <xf numFmtId="0" fontId="1" fillId="0" borderId="0" xfId="0" applyFont="1" applyAlignment="1">
      <alignment horizontal="left" vertical="top" wrapText="1"/>
    </xf>
    <xf numFmtId="49" fontId="1" fillId="0" borderId="0" xfId="0" applyNumberFormat="1" applyFont="1" applyAlignment="1">
      <alignment horizontal="right" vertical="top" wrapText="1"/>
    </xf>
    <xf numFmtId="164" fontId="1" fillId="0" borderId="0" xfId="0" applyNumberFormat="1" applyFont="1" applyAlignment="1">
      <alignment horizontal="right" vertical="top" wrapText="1"/>
    </xf>
    <xf numFmtId="49" fontId="1" fillId="0" borderId="2" xfId="0" applyNumberFormat="1" applyFont="1" applyBorder="1" applyAlignment="1">
      <alignment horizontal="right" vertical="top" wrapText="1"/>
    </xf>
    <xf numFmtId="8" fontId="1" fillId="0" borderId="1" xfId="0" applyNumberFormat="1" applyFont="1" applyBorder="1" applyAlignment="1">
      <alignment horizontal="left" vertical="top" wrapText="1"/>
    </xf>
    <xf numFmtId="0" fontId="1" fillId="0" borderId="2" xfId="0" applyFont="1" applyBorder="1" applyAlignment="1">
      <alignment horizontal="left"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49" fontId="9" fillId="2" borderId="7" xfId="0" applyNumberFormat="1" applyFont="1" applyFill="1" applyBorder="1" applyAlignment="1">
      <alignment horizontal="left" vertical="top" wrapText="1"/>
    </xf>
    <xf numFmtId="164" fontId="9" fillId="2" borderId="6" xfId="0" applyNumberFormat="1" applyFont="1" applyFill="1" applyBorder="1" applyAlignment="1">
      <alignment horizontal="left" vertical="top" wrapText="1"/>
    </xf>
    <xf numFmtId="165" fontId="1" fillId="0" borderId="0" xfId="0" applyNumberFormat="1" applyFont="1"/>
    <xf numFmtId="165" fontId="1" fillId="0" borderId="0" xfId="0" applyNumberFormat="1" applyFont="1" applyAlignment="1">
      <alignment horizontal="right" vertical="top"/>
    </xf>
    <xf numFmtId="164" fontId="1" fillId="0" borderId="0" xfId="0" applyNumberFormat="1" applyFont="1"/>
    <xf numFmtId="164" fontId="1" fillId="0" borderId="0" xfId="0" applyNumberFormat="1" applyFont="1" applyBorder="1" applyAlignment="1">
      <alignment horizontal="right" vertical="top" wrapText="1"/>
    </xf>
    <xf numFmtId="164" fontId="6" fillId="0" borderId="0" xfId="0" applyNumberFormat="1" applyFont="1" applyBorder="1" applyAlignment="1">
      <alignment horizontal="right" vertical="top" wrapText="1"/>
    </xf>
    <xf numFmtId="164" fontId="9" fillId="0" borderId="0" xfId="0" applyNumberFormat="1" applyFont="1" applyFill="1" applyBorder="1" applyAlignment="1">
      <alignment horizontal="left" vertical="top" wrapText="1"/>
    </xf>
    <xf numFmtId="0" fontId="1" fillId="0" borderId="0" xfId="0" applyFont="1" applyAlignment="1">
      <alignment horizontal="center"/>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0" fillId="0" borderId="2" xfId="0" applyBorder="1" applyAlignment="1">
      <alignment horizontal="left" vertical="top" wrapText="1"/>
    </xf>
    <xf numFmtId="164" fontId="9" fillId="2" borderId="0" xfId="0" applyNumberFormat="1" applyFont="1" applyFill="1" applyBorder="1" applyAlignment="1">
      <alignment horizontal="left" vertical="top" wrapText="1"/>
    </xf>
    <xf numFmtId="164" fontId="1" fillId="0" borderId="0" xfId="0" applyNumberFormat="1" applyFont="1" applyAlignment="1">
      <alignment horizontal="left" vertical="top" wrapText="1"/>
    </xf>
    <xf numFmtId="164" fontId="6" fillId="0" borderId="0" xfId="0" applyNumberFormat="1"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3.xml"/><Relationship Id="rId10" Type="http://schemas.openxmlformats.org/officeDocument/2006/relationships/customXml" Target="../customXml/item1.xml"/><Relationship Id="rId4" Type="http://schemas.openxmlformats.org/officeDocument/2006/relationships/worksheet" Target="worksheets/sheet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Multiples</a:t>
            </a:r>
            <a:r>
              <a:rPr lang="fr-FR" baseline="0"/>
              <a:t> des coûts annuels de traitements entre les biothérapies et la trithérapie conventionnelle dans le traitement de fond de la PR chez l'adulte </a:t>
            </a:r>
            <a:endParaRPr lang="fr-FR"/>
          </a:p>
        </c:rich>
      </c:tx>
      <c:layout/>
    </c:title>
    <c:view3D>
      <c:rAngAx val="1"/>
    </c:view3D>
    <c:plotArea>
      <c:layout/>
      <c:bar3DChart>
        <c:barDir val="bar"/>
        <c:grouping val="stacked"/>
        <c:ser>
          <c:idx val="0"/>
          <c:order val="0"/>
          <c:tx>
            <c:strRef>
              <c:f>Tableau!$R$6</c:f>
              <c:strCache>
                <c:ptCount val="1"/>
                <c:pt idx="0">
                  <c:v>poso mini</c:v>
                </c:pt>
              </c:strCache>
            </c:strRef>
          </c:tx>
          <c:dLbls>
            <c:numFmt formatCode="#,##0" sourceLinked="0"/>
            <c:txPr>
              <a:bodyPr/>
              <a:lstStyle/>
              <a:p>
                <a:pPr>
                  <a:defRPr sz="1200" b="1" i="0" baseline="0"/>
                </a:pPr>
                <a:endParaRPr lang="fr-FR"/>
              </a:p>
            </c:txPr>
            <c:showVal val="1"/>
          </c:dLbls>
          <c:cat>
            <c:strRef>
              <c:f>Tableau!$Q$7:$Q$18</c:f>
              <c:strCache>
                <c:ptCount val="12"/>
                <c:pt idx="0">
                  <c:v>infliximab (+MTX)</c:v>
                </c:pt>
                <c:pt idx="1">
                  <c:v>étanercept (+MTX)</c:v>
                </c:pt>
                <c:pt idx="3">
                  <c:v>adalimumab (+MTX)</c:v>
                </c:pt>
                <c:pt idx="4">
                  <c:v>certolizumab (+MTX)</c:v>
                </c:pt>
                <c:pt idx="5">
                  <c:v>golimumab (+MTX)</c:v>
                </c:pt>
                <c:pt idx="6">
                  <c:v>rituximab (+MTX)</c:v>
                </c:pt>
                <c:pt idx="7">
                  <c:v>tocilizumab (+MTX)</c:v>
                </c:pt>
                <c:pt idx="9">
                  <c:v>abatacept (+MTX)</c:v>
                </c:pt>
                <c:pt idx="11">
                  <c:v>Moyennes arithmétiques</c:v>
                </c:pt>
              </c:strCache>
            </c:strRef>
          </c:cat>
          <c:val>
            <c:numRef>
              <c:f>Tableau!$R$7:$R$18</c:f>
              <c:numCache>
                <c:formatCode>#,##0.0</c:formatCode>
                <c:ptCount val="12"/>
                <c:pt idx="0">
                  <c:v>37.394493512627982</c:v>
                </c:pt>
                <c:pt idx="1">
                  <c:v>52.165893780295342</c:v>
                </c:pt>
                <c:pt idx="2">
                  <c:v>49.769596137192643</c:v>
                </c:pt>
                <c:pt idx="3">
                  <c:v>62.998211802106113</c:v>
                </c:pt>
                <c:pt idx="4">
                  <c:v>63.23722863066029</c:v>
                </c:pt>
                <c:pt idx="5">
                  <c:v>63.208409403596647</c:v>
                </c:pt>
                <c:pt idx="6">
                  <c:v>19.431413051220439</c:v>
                </c:pt>
                <c:pt idx="7">
                  <c:v>59.304346033162275</c:v>
                </c:pt>
                <c:pt idx="8">
                  <c:v>72.575361107258146</c:v>
                </c:pt>
                <c:pt idx="9">
                  <c:v>82.134319153961229</c:v>
                </c:pt>
                <c:pt idx="10">
                  <c:v>69.467776823905638</c:v>
                </c:pt>
                <c:pt idx="11">
                  <c:v>57.426095403271525</c:v>
                </c:pt>
              </c:numCache>
            </c:numRef>
          </c:val>
        </c:ser>
        <c:ser>
          <c:idx val="1"/>
          <c:order val="1"/>
          <c:tx>
            <c:strRef>
              <c:f>Tableau!$S$6</c:f>
              <c:strCache>
                <c:ptCount val="1"/>
                <c:pt idx="0">
                  <c:v>poso max</c:v>
                </c:pt>
              </c:strCache>
            </c:strRef>
          </c:tx>
          <c:dLbls>
            <c:numFmt formatCode="#,##0" sourceLinked="0"/>
            <c:txPr>
              <a:bodyPr/>
              <a:lstStyle/>
              <a:p>
                <a:pPr algn="ctr">
                  <a:defRPr lang="fr-FR" sz="1200" b="1" i="0" u="none" strike="noStrike" kern="1200" baseline="0">
                    <a:solidFill>
                      <a:sysClr val="windowText" lastClr="000000"/>
                    </a:solidFill>
                    <a:latin typeface="+mn-lt"/>
                    <a:ea typeface="+mn-ea"/>
                    <a:cs typeface="+mn-cs"/>
                  </a:defRPr>
                </a:pPr>
                <a:endParaRPr lang="fr-FR"/>
              </a:p>
            </c:txPr>
            <c:showVal val="1"/>
          </c:dLbls>
          <c:cat>
            <c:strRef>
              <c:f>Tableau!$Q$7:$Q$18</c:f>
              <c:strCache>
                <c:ptCount val="12"/>
                <c:pt idx="0">
                  <c:v>infliximab (+MTX)</c:v>
                </c:pt>
                <c:pt idx="1">
                  <c:v>étanercept (+MTX)</c:v>
                </c:pt>
                <c:pt idx="3">
                  <c:v>adalimumab (+MTX)</c:v>
                </c:pt>
                <c:pt idx="4">
                  <c:v>certolizumab (+MTX)</c:v>
                </c:pt>
                <c:pt idx="5">
                  <c:v>golimumab (+MTX)</c:v>
                </c:pt>
                <c:pt idx="6">
                  <c:v>rituximab (+MTX)</c:v>
                </c:pt>
                <c:pt idx="7">
                  <c:v>tocilizumab (+MTX)</c:v>
                </c:pt>
                <c:pt idx="9">
                  <c:v>abatacept (+MTX)</c:v>
                </c:pt>
                <c:pt idx="11">
                  <c:v>Moyennes arithmétiques</c:v>
                </c:pt>
              </c:strCache>
            </c:strRef>
          </c:cat>
          <c:val>
            <c:numRef>
              <c:f>Tableau!$S$7:$S$18</c:f>
              <c:numCache>
                <c:formatCode>#,##0.0</c:formatCode>
                <c:ptCount val="12"/>
                <c:pt idx="0">
                  <c:v>18.50530850502501</c:v>
                </c:pt>
                <c:pt idx="1">
                  <c:v>27.011446283159351</c:v>
                </c:pt>
                <c:pt idx="2">
                  <c:v>23.59827387766563</c:v>
                </c:pt>
                <c:pt idx="3">
                  <c:v>54.897170134442533</c:v>
                </c:pt>
                <c:pt idx="4">
                  <c:v>29.140869201645277</c:v>
                </c:pt>
                <c:pt idx="5">
                  <c:v>29.129008667639681</c:v>
                </c:pt>
                <c:pt idx="6">
                  <c:v>19.037395203021486</c:v>
                </c:pt>
                <c:pt idx="7">
                  <c:v>49.142763030001952</c:v>
                </c:pt>
                <c:pt idx="8">
                  <c:v>30.218835530842789</c:v>
                </c:pt>
                <c:pt idx="9">
                  <c:v>58.36198504068453</c:v>
                </c:pt>
                <c:pt idx="10">
                  <c:v>32.552363775499181</c:v>
                </c:pt>
                <c:pt idx="11">
                  <c:v>33.781401749966136</c:v>
                </c:pt>
              </c:numCache>
            </c:numRef>
          </c:val>
        </c:ser>
        <c:shape val="cylinder"/>
        <c:axId val="197929600"/>
        <c:axId val="197971328"/>
        <c:axId val="0"/>
      </c:bar3DChart>
      <c:catAx>
        <c:axId val="197929600"/>
        <c:scaling>
          <c:orientation val="minMax"/>
        </c:scaling>
        <c:axPos val="l"/>
        <c:tickLblPos val="nextTo"/>
        <c:txPr>
          <a:bodyPr/>
          <a:lstStyle/>
          <a:p>
            <a:pPr>
              <a:defRPr sz="1400" b="1" i="0" baseline="0"/>
            </a:pPr>
            <a:endParaRPr lang="fr-FR"/>
          </a:p>
        </c:txPr>
        <c:crossAx val="197971328"/>
        <c:crosses val="autoZero"/>
        <c:auto val="1"/>
        <c:lblAlgn val="ctr"/>
        <c:lblOffset val="100"/>
      </c:catAx>
      <c:valAx>
        <c:axId val="197971328"/>
        <c:scaling>
          <c:orientation val="minMax"/>
        </c:scaling>
        <c:axPos val="b"/>
        <c:majorGridlines/>
        <c:numFmt formatCode="#,##0.0" sourceLinked="1"/>
        <c:tickLblPos val="nextTo"/>
        <c:crossAx val="197929600"/>
        <c:crosses val="autoZero"/>
        <c:crossBetween val="between"/>
      </c:valAx>
    </c:plotArea>
    <c:legend>
      <c:legendPos val="r"/>
      <c:layout/>
      <c:txPr>
        <a:bodyPr/>
        <a:lstStyle/>
        <a:p>
          <a:pPr>
            <a:defRPr sz="1400" b="1" i="0" baseline="0"/>
          </a:pPr>
          <a:endParaRPr lang="fr-FR"/>
        </a:p>
      </c:txPr>
    </c:legend>
    <c:plotVisOnly val="1"/>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Différentiels</a:t>
            </a:r>
            <a:r>
              <a:rPr lang="fr-FR" baseline="0"/>
              <a:t> de coûts annuels de traitements entre les biothérapies et la trithérapie conventionnelle dans le traitement de fond de la PR chez l'adulte </a:t>
            </a:r>
            <a:endParaRPr lang="fr-FR"/>
          </a:p>
        </c:rich>
      </c:tx>
      <c:layout/>
    </c:title>
    <c:view3D>
      <c:rAngAx val="1"/>
    </c:view3D>
    <c:plotArea>
      <c:layout/>
      <c:bar3DChart>
        <c:barDir val="bar"/>
        <c:grouping val="stacked"/>
        <c:ser>
          <c:idx val="0"/>
          <c:order val="0"/>
          <c:tx>
            <c:strRef>
              <c:f>Tableau!$U$6</c:f>
              <c:strCache>
                <c:ptCount val="1"/>
                <c:pt idx="0">
                  <c:v>poso mini</c:v>
                </c:pt>
              </c:strCache>
            </c:strRef>
          </c:tx>
          <c:dLbls>
            <c:numFmt formatCode="#,##0\ &quot;€&quot;" sourceLinked="0"/>
            <c:txPr>
              <a:bodyPr/>
              <a:lstStyle/>
              <a:p>
                <a:pPr>
                  <a:defRPr sz="1200" b="1" i="0" baseline="0">
                    <a:latin typeface="Arial" pitchFamily="34" charset="0"/>
                    <a:cs typeface="Arial" pitchFamily="34" charset="0"/>
                  </a:defRPr>
                </a:pPr>
                <a:endParaRPr lang="fr-FR"/>
              </a:p>
            </c:txPr>
            <c:showVal val="1"/>
          </c:dLbls>
          <c:cat>
            <c:strRef>
              <c:f>Tableau!$Q$7:$Q$18</c:f>
              <c:strCache>
                <c:ptCount val="12"/>
                <c:pt idx="0">
                  <c:v>infliximab (+MTX)</c:v>
                </c:pt>
                <c:pt idx="1">
                  <c:v>étanercept (+MTX)</c:v>
                </c:pt>
                <c:pt idx="3">
                  <c:v>adalimumab (+MTX)</c:v>
                </c:pt>
                <c:pt idx="4">
                  <c:v>certolizumab (+MTX)</c:v>
                </c:pt>
                <c:pt idx="5">
                  <c:v>golimumab (+MTX)</c:v>
                </c:pt>
                <c:pt idx="6">
                  <c:v>rituximab (+MTX)</c:v>
                </c:pt>
                <c:pt idx="7">
                  <c:v>tocilizumab (+MTX)</c:v>
                </c:pt>
                <c:pt idx="9">
                  <c:v>abatacept (+MTX)</c:v>
                </c:pt>
                <c:pt idx="11">
                  <c:v>Moyennes arithmétiques</c:v>
                </c:pt>
              </c:strCache>
            </c:strRef>
          </c:cat>
          <c:val>
            <c:numRef>
              <c:f>Tableau!$U$7:$U$18</c:f>
              <c:numCache>
                <c:formatCode>#,##0.00\ "€"</c:formatCode>
                <c:ptCount val="12"/>
                <c:pt idx="0">
                  <c:v>6472.1298333333343</c:v>
                </c:pt>
                <c:pt idx="1">
                  <c:v>9098.967333333334</c:v>
                </c:pt>
                <c:pt idx="2">
                  <c:v>8672.8273333333327</c:v>
                </c:pt>
                <c:pt idx="3">
                  <c:v>11025.307333333334</c:v>
                </c:pt>
                <c:pt idx="4">
                  <c:v>11067.812333333333</c:v>
                </c:pt>
                <c:pt idx="5">
                  <c:v>11062.687333333333</c:v>
                </c:pt>
                <c:pt idx="6">
                  <c:v>3277.7073333333333</c:v>
                </c:pt>
                <c:pt idx="7">
                  <c:v>10368.417333333335</c:v>
                </c:pt>
                <c:pt idx="8">
                  <c:v>12728.437333333333</c:v>
                </c:pt>
                <c:pt idx="9">
                  <c:v>14428.332333333334</c:v>
                </c:pt>
                <c:pt idx="10">
                  <c:v>12175.807333333334</c:v>
                </c:pt>
                <c:pt idx="11">
                  <c:v>10034.403015151516</c:v>
                </c:pt>
              </c:numCache>
            </c:numRef>
          </c:val>
        </c:ser>
        <c:ser>
          <c:idx val="1"/>
          <c:order val="1"/>
          <c:tx>
            <c:strRef>
              <c:f>Tableau!$V$6</c:f>
              <c:strCache>
                <c:ptCount val="1"/>
                <c:pt idx="0">
                  <c:v>poso max</c:v>
                </c:pt>
              </c:strCache>
            </c:strRef>
          </c:tx>
          <c:dLbls>
            <c:txPr>
              <a:bodyPr/>
              <a:lstStyle/>
              <a:p>
                <a:pPr>
                  <a:defRPr sz="1200" b="1" baseline="0">
                    <a:latin typeface="Arial" pitchFamily="34" charset="0"/>
                    <a:cs typeface="Arial" pitchFamily="34" charset="0"/>
                  </a:defRPr>
                </a:pPr>
                <a:endParaRPr lang="fr-FR"/>
              </a:p>
            </c:txPr>
            <c:showVal val="1"/>
          </c:dLbls>
          <c:cat>
            <c:strRef>
              <c:f>Tableau!$Q$7:$Q$18</c:f>
              <c:strCache>
                <c:ptCount val="12"/>
                <c:pt idx="0">
                  <c:v>infliximab (+MTX)</c:v>
                </c:pt>
                <c:pt idx="1">
                  <c:v>étanercept (+MTX)</c:v>
                </c:pt>
                <c:pt idx="3">
                  <c:v>adalimumab (+MTX)</c:v>
                </c:pt>
                <c:pt idx="4">
                  <c:v>certolizumab (+MTX)</c:v>
                </c:pt>
                <c:pt idx="5">
                  <c:v>golimumab (+MTX)</c:v>
                </c:pt>
                <c:pt idx="6">
                  <c:v>rituximab (+MTX)</c:v>
                </c:pt>
                <c:pt idx="7">
                  <c:v>tocilizumab (+MTX)</c:v>
                </c:pt>
                <c:pt idx="9">
                  <c:v>abatacept (+MTX)</c:v>
                </c:pt>
                <c:pt idx="11">
                  <c:v>Moyennes arithmétiques</c:v>
                </c:pt>
              </c:strCache>
            </c:strRef>
          </c:cat>
          <c:val>
            <c:numRef>
              <c:f>Tableau!$V$7:$V$18</c:f>
              <c:numCache>
                <c:formatCode>#,##0.00\ "€"</c:formatCode>
                <c:ptCount val="12"/>
                <c:pt idx="0">
                  <c:v>7564.1371666666673</c:v>
                </c:pt>
                <c:pt idx="1">
                  <c:v>11239.684666666666</c:v>
                </c:pt>
                <c:pt idx="2">
                  <c:v>9764.8346666666657</c:v>
                </c:pt>
                <c:pt idx="3">
                  <c:v>23289.254666666668</c:v>
                </c:pt>
                <c:pt idx="4">
                  <c:v>12159.819666666666</c:v>
                </c:pt>
                <c:pt idx="5">
                  <c:v>12154.694666666666</c:v>
                </c:pt>
                <c:pt idx="6">
                  <c:v>7794.0546666666669</c:v>
                </c:pt>
                <c:pt idx="7">
                  <c:v>20802.744666666669</c:v>
                </c:pt>
                <c:pt idx="8">
                  <c:v>12625.614666666666</c:v>
                </c:pt>
                <c:pt idx="9">
                  <c:v>24786.419666666668</c:v>
                </c:pt>
                <c:pt idx="10">
                  <c:v>13633.944666666666</c:v>
                </c:pt>
                <c:pt idx="11">
                  <c:v>14165.01853030303</c:v>
                </c:pt>
              </c:numCache>
            </c:numRef>
          </c:val>
        </c:ser>
        <c:shape val="cylinder"/>
        <c:axId val="199187456"/>
        <c:axId val="199218688"/>
        <c:axId val="0"/>
      </c:bar3DChart>
      <c:catAx>
        <c:axId val="199187456"/>
        <c:scaling>
          <c:orientation val="minMax"/>
        </c:scaling>
        <c:axPos val="l"/>
        <c:tickLblPos val="nextTo"/>
        <c:txPr>
          <a:bodyPr/>
          <a:lstStyle/>
          <a:p>
            <a:pPr>
              <a:defRPr sz="1400" b="1" i="0" baseline="0"/>
            </a:pPr>
            <a:endParaRPr lang="fr-FR"/>
          </a:p>
        </c:txPr>
        <c:crossAx val="199218688"/>
        <c:crosses val="autoZero"/>
        <c:auto val="1"/>
        <c:lblAlgn val="ctr"/>
        <c:lblOffset val="100"/>
      </c:catAx>
      <c:valAx>
        <c:axId val="199218688"/>
        <c:scaling>
          <c:orientation val="minMax"/>
        </c:scaling>
        <c:axPos val="b"/>
        <c:majorGridlines/>
        <c:numFmt formatCode="#,##0.00\ &quot;€&quot;" sourceLinked="1"/>
        <c:tickLblPos val="nextTo"/>
        <c:crossAx val="199187456"/>
        <c:crosses val="autoZero"/>
        <c:crossBetween val="between"/>
      </c:valAx>
    </c:plotArea>
    <c:legend>
      <c:legendPos val="r"/>
      <c:layout/>
      <c:txPr>
        <a:bodyPr/>
        <a:lstStyle/>
        <a:p>
          <a:pPr>
            <a:defRPr sz="1400" b="1" i="0" baseline="0"/>
          </a:pPr>
          <a:endParaRPr lang="fr-FR"/>
        </a:p>
      </c:txPr>
    </c:legend>
    <c:plotVisOnly val="1"/>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301574" cy="607953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0.00759</cdr:x>
      <cdr:y>0.2205</cdr:y>
    </cdr:from>
    <cdr:to>
      <cdr:x>0.8799</cdr:x>
      <cdr:y>0.2205</cdr:y>
    </cdr:to>
    <cdr:sp macro="" textlink="">
      <cdr:nvSpPr>
        <cdr:cNvPr id="3" name="Connecteur droit 2"/>
        <cdr:cNvSpPr/>
      </cdr:nvSpPr>
      <cdr:spPr>
        <a:xfrm xmlns:a="http://schemas.openxmlformats.org/drawingml/2006/main" flipV="1">
          <a:off x="70556" y="1340554"/>
          <a:ext cx="8113888" cy="1"/>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cdr:x>
      <cdr:y>0</cdr:y>
    </cdr:from>
    <cdr:to>
      <cdr:x>0.87231</cdr:x>
      <cdr:y>1.64486E-7</cdr:y>
    </cdr:to>
    <cdr:sp macro="" textlink="">
      <cdr:nvSpPr>
        <cdr:cNvPr id="4" name="Connecteur droit 3"/>
        <cdr:cNvSpPr/>
      </cdr:nvSpPr>
      <cdr:spPr>
        <a:xfrm xmlns:a="http://schemas.openxmlformats.org/drawingml/2006/main" flipV="1">
          <a:off x="0" y="0"/>
          <a:ext cx="8113888" cy="1"/>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cdr:x>
      <cdr:y>0</cdr:y>
    </cdr:from>
    <cdr:to>
      <cdr:x>0.87231</cdr:x>
      <cdr:y>1.64486E-7</cdr:y>
    </cdr:to>
    <cdr:sp macro="" textlink="">
      <cdr:nvSpPr>
        <cdr:cNvPr id="5" name="Connecteur droit 4"/>
        <cdr:cNvSpPr/>
      </cdr:nvSpPr>
      <cdr:spPr>
        <a:xfrm xmlns:a="http://schemas.openxmlformats.org/drawingml/2006/main" flipV="1">
          <a:off x="0" y="0"/>
          <a:ext cx="8113888" cy="1"/>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0.01011</cdr:x>
      <cdr:y>0.35203</cdr:y>
    </cdr:from>
    <cdr:to>
      <cdr:x>0.88248</cdr:x>
      <cdr:y>0.3559</cdr:y>
    </cdr:to>
    <cdr:sp macro="" textlink="">
      <cdr:nvSpPr>
        <cdr:cNvPr id="7" name="Connecteur droit 6"/>
        <cdr:cNvSpPr/>
      </cdr:nvSpPr>
      <cdr:spPr>
        <a:xfrm xmlns:a="http://schemas.openxmlformats.org/drawingml/2006/main">
          <a:off x="94074" y="2140185"/>
          <a:ext cx="8114400" cy="2351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pPr marL="0" indent="0"/>
          <a:endParaRPr lang="fr-FR" sz="1100">
            <a:solidFill>
              <a:schemeClr val="tx1"/>
            </a:solidFill>
            <a:latin typeface="+mn-lt"/>
            <a:ea typeface="+mn-ea"/>
            <a:cs typeface="+mn-cs"/>
          </a:endParaRPr>
        </a:p>
      </cdr:txBody>
    </cdr:sp>
  </cdr:relSizeAnchor>
  <cdr:relSizeAnchor xmlns:cdr="http://schemas.openxmlformats.org/drawingml/2006/chartDrawing">
    <cdr:from>
      <cdr:x>0.66245</cdr:x>
      <cdr:y>0.22824</cdr:y>
    </cdr:from>
    <cdr:to>
      <cdr:x>0.82554</cdr:x>
      <cdr:y>0.26306</cdr:y>
    </cdr:to>
    <cdr:sp macro="" textlink="">
      <cdr:nvSpPr>
        <cdr:cNvPr id="8" name="ZoneTexte 7"/>
        <cdr:cNvSpPr txBox="1"/>
      </cdr:nvSpPr>
      <cdr:spPr>
        <a:xfrm xmlns:a="http://schemas.openxmlformats.org/drawingml/2006/main">
          <a:off x="6161852" y="1387593"/>
          <a:ext cx="1516944" cy="211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Adm SC à domicile</a:t>
          </a:r>
        </a:p>
      </cdr:txBody>
    </cdr:sp>
  </cdr:relSizeAnchor>
  <cdr:relSizeAnchor xmlns:cdr="http://schemas.openxmlformats.org/drawingml/2006/chartDrawing">
    <cdr:from>
      <cdr:x>0.78129</cdr:x>
      <cdr:y>0.29207</cdr:y>
    </cdr:from>
    <cdr:to>
      <cdr:x>0.94437</cdr:x>
      <cdr:y>0.32689</cdr:y>
    </cdr:to>
    <cdr:sp macro="" textlink="">
      <cdr:nvSpPr>
        <cdr:cNvPr id="9" name="ZoneTexte 1"/>
        <cdr:cNvSpPr txBox="1"/>
      </cdr:nvSpPr>
      <cdr:spPr>
        <a:xfrm xmlns:a="http://schemas.openxmlformats.org/drawingml/2006/main">
          <a:off x="7267222" y="1775648"/>
          <a:ext cx="1516944" cy="211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Perfusion IV à l'hôpital</a:t>
          </a:r>
        </a:p>
      </cdr:txBody>
    </cdr:sp>
  </cdr:relSizeAnchor>
  <cdr:relSizeAnchor xmlns:cdr="http://schemas.openxmlformats.org/drawingml/2006/chartDrawing">
    <cdr:from>
      <cdr:x>0.66498</cdr:x>
      <cdr:y>0.36364</cdr:y>
    </cdr:from>
    <cdr:to>
      <cdr:x>0.82807</cdr:x>
      <cdr:y>0.39845</cdr:y>
    </cdr:to>
    <cdr:sp macro="" textlink="">
      <cdr:nvSpPr>
        <cdr:cNvPr id="10" name="ZoneTexte 1"/>
        <cdr:cNvSpPr txBox="1"/>
      </cdr:nvSpPr>
      <cdr:spPr>
        <a:xfrm xmlns:a="http://schemas.openxmlformats.org/drawingml/2006/main">
          <a:off x="6185371" y="2210741"/>
          <a:ext cx="1516944" cy="211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Adm SC à domicile</a:t>
          </a:r>
        </a:p>
      </cdr:txBody>
    </cdr:sp>
  </cdr:relSizeAnchor>
  <cdr:relSizeAnchor xmlns:cdr="http://schemas.openxmlformats.org/drawingml/2006/chartDrawing">
    <cdr:from>
      <cdr:x>0.68268</cdr:x>
      <cdr:y>0.42553</cdr:y>
    </cdr:from>
    <cdr:to>
      <cdr:x>0.84576</cdr:x>
      <cdr:y>0.46035</cdr:y>
    </cdr:to>
    <cdr:sp macro="" textlink="">
      <cdr:nvSpPr>
        <cdr:cNvPr id="11" name="ZoneTexte 1"/>
        <cdr:cNvSpPr txBox="1"/>
      </cdr:nvSpPr>
      <cdr:spPr>
        <a:xfrm xmlns:a="http://schemas.openxmlformats.org/drawingml/2006/main">
          <a:off x="6350000" y="2587037"/>
          <a:ext cx="1516944" cy="211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Perfusion IV à l'hôpital</a:t>
          </a:r>
        </a:p>
      </cdr:txBody>
    </cdr:sp>
  </cdr:relSizeAnchor>
  <cdr:relSizeAnchor xmlns:cdr="http://schemas.openxmlformats.org/drawingml/2006/chartDrawing">
    <cdr:from>
      <cdr:x>0.00885</cdr:x>
      <cdr:y>0.48549</cdr:y>
    </cdr:from>
    <cdr:to>
      <cdr:x>0.88122</cdr:x>
      <cdr:y>0.48743</cdr:y>
    </cdr:to>
    <cdr:sp macro="" textlink="">
      <cdr:nvSpPr>
        <cdr:cNvPr id="13" name="Connecteur droit 12"/>
        <cdr:cNvSpPr/>
      </cdr:nvSpPr>
      <cdr:spPr>
        <a:xfrm xmlns:a="http://schemas.openxmlformats.org/drawingml/2006/main">
          <a:off x="82316" y="2951574"/>
          <a:ext cx="8114400" cy="1175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0.00632</cdr:x>
      <cdr:y>0.74275</cdr:y>
    </cdr:from>
    <cdr:to>
      <cdr:x>0.87869</cdr:x>
      <cdr:y>0.74468</cdr:y>
    </cdr:to>
    <cdr:sp macro="" textlink="">
      <cdr:nvSpPr>
        <cdr:cNvPr id="15" name="Connecteur droit 14"/>
        <cdr:cNvSpPr/>
      </cdr:nvSpPr>
      <cdr:spPr>
        <a:xfrm xmlns:a="http://schemas.openxmlformats.org/drawingml/2006/main" flipV="1">
          <a:off x="58795" y="4515556"/>
          <a:ext cx="8114400" cy="1175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0.00506</cdr:x>
      <cdr:y>0.87814</cdr:y>
    </cdr:from>
    <cdr:to>
      <cdr:x>0.87737</cdr:x>
      <cdr:y>0.87814</cdr:y>
    </cdr:to>
    <cdr:sp macro="" textlink="">
      <cdr:nvSpPr>
        <cdr:cNvPr id="17" name="Connecteur droit 16"/>
        <cdr:cNvSpPr/>
      </cdr:nvSpPr>
      <cdr:spPr>
        <a:xfrm xmlns:a="http://schemas.openxmlformats.org/drawingml/2006/main">
          <a:off x="47037" y="5338703"/>
          <a:ext cx="8113889"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0.54867</cdr:x>
      <cdr:y>0.75435</cdr:y>
    </cdr:from>
    <cdr:to>
      <cdr:x>0.92541</cdr:x>
      <cdr:y>0.78917</cdr:y>
    </cdr:to>
    <cdr:sp macro="" textlink="">
      <cdr:nvSpPr>
        <cdr:cNvPr id="18" name="ZoneTexte 1"/>
        <cdr:cNvSpPr txBox="1"/>
      </cdr:nvSpPr>
      <cdr:spPr>
        <a:xfrm xmlns:a="http://schemas.openxmlformats.org/drawingml/2006/main">
          <a:off x="5103518" y="4586110"/>
          <a:ext cx="3504260" cy="211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BENEPALI®, biosimilaire d'étanercept</a:t>
          </a:r>
        </a:p>
      </cdr:txBody>
    </cdr:sp>
  </cdr:relSizeAnchor>
  <cdr:relSizeAnchor xmlns:cdr="http://schemas.openxmlformats.org/drawingml/2006/chartDrawing">
    <cdr:from>
      <cdr:x>0.5689</cdr:x>
      <cdr:y>0.81431</cdr:y>
    </cdr:from>
    <cdr:to>
      <cdr:x>0.94564</cdr:x>
      <cdr:y>0.84913</cdr:y>
    </cdr:to>
    <cdr:sp macro="" textlink="">
      <cdr:nvSpPr>
        <cdr:cNvPr id="19" name="ZoneTexte 1"/>
        <cdr:cNvSpPr txBox="1"/>
      </cdr:nvSpPr>
      <cdr:spPr>
        <a:xfrm xmlns:a="http://schemas.openxmlformats.org/drawingml/2006/main">
          <a:off x="5291667" y="4950648"/>
          <a:ext cx="3504260" cy="211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ENBREL®, princeps d'étanercept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1574" cy="607953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0.00759</cdr:x>
      <cdr:y>0.2205</cdr:y>
    </cdr:from>
    <cdr:to>
      <cdr:x>0.8799</cdr:x>
      <cdr:y>0.2205</cdr:y>
    </cdr:to>
    <cdr:sp macro="" textlink="">
      <cdr:nvSpPr>
        <cdr:cNvPr id="3" name="Connecteur droit 2"/>
        <cdr:cNvSpPr/>
      </cdr:nvSpPr>
      <cdr:spPr>
        <a:xfrm xmlns:a="http://schemas.openxmlformats.org/drawingml/2006/main" flipV="1">
          <a:off x="70556" y="1340554"/>
          <a:ext cx="8113888" cy="1"/>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cdr:x>
      <cdr:y>0</cdr:y>
    </cdr:from>
    <cdr:to>
      <cdr:x>0.87231</cdr:x>
      <cdr:y>1.64486E-7</cdr:y>
    </cdr:to>
    <cdr:sp macro="" textlink="">
      <cdr:nvSpPr>
        <cdr:cNvPr id="4" name="Connecteur droit 3"/>
        <cdr:cNvSpPr/>
      </cdr:nvSpPr>
      <cdr:spPr>
        <a:xfrm xmlns:a="http://schemas.openxmlformats.org/drawingml/2006/main" flipV="1">
          <a:off x="0" y="0"/>
          <a:ext cx="8113888" cy="1"/>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cdr:x>
      <cdr:y>0</cdr:y>
    </cdr:from>
    <cdr:to>
      <cdr:x>0.87231</cdr:x>
      <cdr:y>1.64486E-7</cdr:y>
    </cdr:to>
    <cdr:sp macro="" textlink="">
      <cdr:nvSpPr>
        <cdr:cNvPr id="5" name="Connecteur droit 4"/>
        <cdr:cNvSpPr/>
      </cdr:nvSpPr>
      <cdr:spPr>
        <a:xfrm xmlns:a="http://schemas.openxmlformats.org/drawingml/2006/main" flipV="1">
          <a:off x="0" y="0"/>
          <a:ext cx="8113888" cy="1"/>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0.01011</cdr:x>
      <cdr:y>0.35203</cdr:y>
    </cdr:from>
    <cdr:to>
      <cdr:x>0.88248</cdr:x>
      <cdr:y>0.3559</cdr:y>
    </cdr:to>
    <cdr:sp macro="" textlink="">
      <cdr:nvSpPr>
        <cdr:cNvPr id="7" name="Connecteur droit 6"/>
        <cdr:cNvSpPr/>
      </cdr:nvSpPr>
      <cdr:spPr>
        <a:xfrm xmlns:a="http://schemas.openxmlformats.org/drawingml/2006/main">
          <a:off x="94074" y="2140185"/>
          <a:ext cx="8114400" cy="2351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pPr marL="0" indent="0"/>
          <a:endParaRPr lang="fr-FR" sz="1100">
            <a:solidFill>
              <a:schemeClr val="tx1"/>
            </a:solidFill>
            <a:latin typeface="+mn-lt"/>
            <a:ea typeface="+mn-ea"/>
            <a:cs typeface="+mn-cs"/>
          </a:endParaRPr>
        </a:p>
      </cdr:txBody>
    </cdr:sp>
  </cdr:relSizeAnchor>
  <cdr:relSizeAnchor xmlns:cdr="http://schemas.openxmlformats.org/drawingml/2006/chartDrawing">
    <cdr:from>
      <cdr:x>0.66245</cdr:x>
      <cdr:y>0.22824</cdr:y>
    </cdr:from>
    <cdr:to>
      <cdr:x>0.82554</cdr:x>
      <cdr:y>0.26306</cdr:y>
    </cdr:to>
    <cdr:sp macro="" textlink="">
      <cdr:nvSpPr>
        <cdr:cNvPr id="8" name="ZoneTexte 7"/>
        <cdr:cNvSpPr txBox="1"/>
      </cdr:nvSpPr>
      <cdr:spPr>
        <a:xfrm xmlns:a="http://schemas.openxmlformats.org/drawingml/2006/main">
          <a:off x="6161852" y="1387593"/>
          <a:ext cx="1516944" cy="211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Adm SC à domicile</a:t>
          </a:r>
        </a:p>
      </cdr:txBody>
    </cdr:sp>
  </cdr:relSizeAnchor>
  <cdr:relSizeAnchor xmlns:cdr="http://schemas.openxmlformats.org/drawingml/2006/chartDrawing">
    <cdr:from>
      <cdr:x>0.81037</cdr:x>
      <cdr:y>0.29207</cdr:y>
    </cdr:from>
    <cdr:to>
      <cdr:x>0.97345</cdr:x>
      <cdr:y>0.32689</cdr:y>
    </cdr:to>
    <cdr:sp macro="" textlink="">
      <cdr:nvSpPr>
        <cdr:cNvPr id="9" name="ZoneTexte 1"/>
        <cdr:cNvSpPr txBox="1"/>
      </cdr:nvSpPr>
      <cdr:spPr>
        <a:xfrm xmlns:a="http://schemas.openxmlformats.org/drawingml/2006/main">
          <a:off x="7537690" y="1775650"/>
          <a:ext cx="1516900" cy="211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Perfusion IV à l'hôpital</a:t>
          </a:r>
        </a:p>
      </cdr:txBody>
    </cdr:sp>
  </cdr:relSizeAnchor>
  <cdr:relSizeAnchor xmlns:cdr="http://schemas.openxmlformats.org/drawingml/2006/chartDrawing">
    <cdr:from>
      <cdr:x>0.66498</cdr:x>
      <cdr:y>0.36364</cdr:y>
    </cdr:from>
    <cdr:to>
      <cdr:x>0.82807</cdr:x>
      <cdr:y>0.39845</cdr:y>
    </cdr:to>
    <cdr:sp macro="" textlink="">
      <cdr:nvSpPr>
        <cdr:cNvPr id="10" name="ZoneTexte 1"/>
        <cdr:cNvSpPr txBox="1"/>
      </cdr:nvSpPr>
      <cdr:spPr>
        <a:xfrm xmlns:a="http://schemas.openxmlformats.org/drawingml/2006/main">
          <a:off x="6185371" y="2210741"/>
          <a:ext cx="1516944" cy="211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Adm SC à domicile</a:t>
          </a:r>
        </a:p>
      </cdr:txBody>
    </cdr:sp>
  </cdr:relSizeAnchor>
  <cdr:relSizeAnchor xmlns:cdr="http://schemas.openxmlformats.org/drawingml/2006/chartDrawing">
    <cdr:from>
      <cdr:x>0.70038</cdr:x>
      <cdr:y>0.4236</cdr:y>
    </cdr:from>
    <cdr:to>
      <cdr:x>0.86346</cdr:x>
      <cdr:y>0.45842</cdr:y>
    </cdr:to>
    <cdr:sp macro="" textlink="">
      <cdr:nvSpPr>
        <cdr:cNvPr id="11" name="ZoneTexte 1"/>
        <cdr:cNvSpPr txBox="1"/>
      </cdr:nvSpPr>
      <cdr:spPr>
        <a:xfrm xmlns:a="http://schemas.openxmlformats.org/drawingml/2006/main">
          <a:off x="6514628" y="2575265"/>
          <a:ext cx="1516900" cy="211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Perfusion IV à l'hôpital</a:t>
          </a:r>
        </a:p>
      </cdr:txBody>
    </cdr:sp>
  </cdr:relSizeAnchor>
  <cdr:relSizeAnchor xmlns:cdr="http://schemas.openxmlformats.org/drawingml/2006/chartDrawing">
    <cdr:from>
      <cdr:x>0.00885</cdr:x>
      <cdr:y>0.48549</cdr:y>
    </cdr:from>
    <cdr:to>
      <cdr:x>0.88122</cdr:x>
      <cdr:y>0.48743</cdr:y>
    </cdr:to>
    <cdr:sp macro="" textlink="">
      <cdr:nvSpPr>
        <cdr:cNvPr id="13" name="Connecteur droit 12"/>
        <cdr:cNvSpPr/>
      </cdr:nvSpPr>
      <cdr:spPr>
        <a:xfrm xmlns:a="http://schemas.openxmlformats.org/drawingml/2006/main">
          <a:off x="82316" y="2951574"/>
          <a:ext cx="8114400" cy="1175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0.00632</cdr:x>
      <cdr:y>0.74275</cdr:y>
    </cdr:from>
    <cdr:to>
      <cdr:x>0.87869</cdr:x>
      <cdr:y>0.74468</cdr:y>
    </cdr:to>
    <cdr:sp macro="" textlink="">
      <cdr:nvSpPr>
        <cdr:cNvPr id="15" name="Connecteur droit 14"/>
        <cdr:cNvSpPr/>
      </cdr:nvSpPr>
      <cdr:spPr>
        <a:xfrm xmlns:a="http://schemas.openxmlformats.org/drawingml/2006/main" flipV="1">
          <a:off x="58795" y="4515556"/>
          <a:ext cx="8114400" cy="1175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0.00506</cdr:x>
      <cdr:y>0.87814</cdr:y>
    </cdr:from>
    <cdr:to>
      <cdr:x>0.87737</cdr:x>
      <cdr:y>0.87814</cdr:y>
    </cdr:to>
    <cdr:sp macro="" textlink="">
      <cdr:nvSpPr>
        <cdr:cNvPr id="17" name="Connecteur droit 16"/>
        <cdr:cNvSpPr/>
      </cdr:nvSpPr>
      <cdr:spPr>
        <a:xfrm xmlns:a="http://schemas.openxmlformats.org/drawingml/2006/main">
          <a:off x="47037" y="5338703"/>
          <a:ext cx="8113889"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0.54867</cdr:x>
      <cdr:y>0.75435</cdr:y>
    </cdr:from>
    <cdr:to>
      <cdr:x>0.92541</cdr:x>
      <cdr:y>0.78917</cdr:y>
    </cdr:to>
    <cdr:sp macro="" textlink="">
      <cdr:nvSpPr>
        <cdr:cNvPr id="18" name="ZoneTexte 1"/>
        <cdr:cNvSpPr txBox="1"/>
      </cdr:nvSpPr>
      <cdr:spPr>
        <a:xfrm xmlns:a="http://schemas.openxmlformats.org/drawingml/2006/main">
          <a:off x="5103518" y="4586110"/>
          <a:ext cx="3504260" cy="211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BENEPALI®, biosimilaire d'étanercept</a:t>
          </a:r>
        </a:p>
      </cdr:txBody>
    </cdr:sp>
  </cdr:relSizeAnchor>
  <cdr:relSizeAnchor xmlns:cdr="http://schemas.openxmlformats.org/drawingml/2006/chartDrawing">
    <cdr:from>
      <cdr:x>0.5689</cdr:x>
      <cdr:y>0.81431</cdr:y>
    </cdr:from>
    <cdr:to>
      <cdr:x>0.94564</cdr:x>
      <cdr:y>0.84913</cdr:y>
    </cdr:to>
    <cdr:sp macro="" textlink="">
      <cdr:nvSpPr>
        <cdr:cNvPr id="19" name="ZoneTexte 1"/>
        <cdr:cNvSpPr txBox="1"/>
      </cdr:nvSpPr>
      <cdr:spPr>
        <a:xfrm xmlns:a="http://schemas.openxmlformats.org/drawingml/2006/main">
          <a:off x="5291667" y="4950648"/>
          <a:ext cx="3504260" cy="211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ENBREL®, princeps d'étanercept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V21"/>
  <sheetViews>
    <sheetView tabSelected="1" zoomScaleNormal="100" workbookViewId="0">
      <pane ySplit="990" topLeftCell="A4" activePane="bottomLeft"/>
      <selection activeCell="Q6" sqref="Q6:S7"/>
      <selection pane="bottomLeft" activeCell="H7" sqref="H7"/>
    </sheetView>
  </sheetViews>
  <sheetFormatPr baseColWidth="10" defaultRowHeight="11.25"/>
  <cols>
    <col min="1" max="1" width="15.140625" style="7" bestFit="1" customWidth="1"/>
    <col min="2" max="2" width="16.28515625" style="7" customWidth="1"/>
    <col min="3" max="3" width="13.7109375" style="7" bestFit="1" customWidth="1"/>
    <col min="4" max="4" width="10.140625" style="7" bestFit="1" customWidth="1"/>
    <col min="5" max="5" width="10.5703125" style="7" bestFit="1" customWidth="1"/>
    <col min="6" max="6" width="18.28515625" style="7" customWidth="1"/>
    <col min="7" max="7" width="8.85546875" style="7" bestFit="1" customWidth="1"/>
    <col min="8" max="9" width="16.28515625" style="7" customWidth="1"/>
    <col min="10" max="10" width="14.28515625" style="7" bestFit="1" customWidth="1"/>
    <col min="11" max="11" width="17.140625" style="8" customWidth="1"/>
    <col min="12" max="12" width="10.42578125" style="9" bestFit="1" customWidth="1"/>
    <col min="13" max="13" width="10.5703125" style="9" bestFit="1" customWidth="1"/>
    <col min="14" max="14" width="11.85546875" style="9" bestFit="1" customWidth="1"/>
    <col min="15" max="16" width="11.85546875" style="9" customWidth="1"/>
    <col min="17" max="17" width="14.42578125" style="9" customWidth="1"/>
    <col min="18" max="19" width="11.42578125" style="6"/>
    <col min="20" max="20" width="26.28515625" style="6" customWidth="1"/>
    <col min="21" max="16384" width="11.42578125" style="6"/>
  </cols>
  <sheetData>
    <row r="1" spans="1:22" ht="34.5" thickBot="1">
      <c r="A1" s="15" t="s">
        <v>1</v>
      </c>
      <c r="B1" s="15" t="s">
        <v>0</v>
      </c>
      <c r="C1" s="16" t="s">
        <v>16</v>
      </c>
      <c r="D1" s="16" t="s">
        <v>22</v>
      </c>
      <c r="E1" s="16" t="s">
        <v>14</v>
      </c>
      <c r="F1" s="16" t="s">
        <v>18</v>
      </c>
      <c r="G1" s="16" t="s">
        <v>4</v>
      </c>
      <c r="H1" s="16" t="s">
        <v>2</v>
      </c>
      <c r="I1" s="16" t="s">
        <v>3</v>
      </c>
      <c r="J1" s="15" t="s">
        <v>5</v>
      </c>
      <c r="K1" s="17" t="s">
        <v>6</v>
      </c>
      <c r="L1" s="18" t="s">
        <v>27</v>
      </c>
      <c r="M1" s="18" t="s">
        <v>7</v>
      </c>
      <c r="N1" s="18" t="s">
        <v>8</v>
      </c>
      <c r="O1" s="31"/>
      <c r="P1" s="31"/>
      <c r="Q1" s="24"/>
    </row>
    <row r="2" spans="1:22" ht="34.5" thickTop="1">
      <c r="A2" s="27" t="s">
        <v>10</v>
      </c>
      <c r="B2" s="1" t="s">
        <v>21</v>
      </c>
      <c r="C2" s="12" t="s">
        <v>17</v>
      </c>
      <c r="D2" s="1" t="s">
        <v>23</v>
      </c>
      <c r="E2" s="1" t="s">
        <v>15</v>
      </c>
      <c r="F2" s="1" t="s">
        <v>24</v>
      </c>
      <c r="G2" s="1" t="s">
        <v>25</v>
      </c>
      <c r="H2" s="1" t="s">
        <v>19</v>
      </c>
      <c r="I2" s="1" t="s">
        <v>20</v>
      </c>
      <c r="J2" s="1" t="s">
        <v>26</v>
      </c>
      <c r="K2" s="10"/>
      <c r="L2" s="2"/>
      <c r="M2" s="2">
        <f>(3*52)/24*4.8</f>
        <v>31.2</v>
      </c>
      <c r="N2" s="2">
        <f>(3*52)/10*8.9</f>
        <v>138.84</v>
      </c>
      <c r="O2" s="22"/>
      <c r="P2" s="22"/>
      <c r="Q2" s="22"/>
    </row>
    <row r="3" spans="1:22" ht="45">
      <c r="A3" s="28"/>
      <c r="B3" s="3" t="s">
        <v>67</v>
      </c>
      <c r="C3" s="12" t="s">
        <v>68</v>
      </c>
      <c r="D3" s="12" t="s">
        <v>69</v>
      </c>
      <c r="E3" s="12" t="s">
        <v>70</v>
      </c>
      <c r="F3" s="3" t="s">
        <v>71</v>
      </c>
      <c r="G3" s="3" t="s">
        <v>72</v>
      </c>
      <c r="H3" s="1" t="s">
        <v>19</v>
      </c>
      <c r="I3" s="1" t="s">
        <v>20</v>
      </c>
      <c r="J3" s="3" t="s">
        <v>73</v>
      </c>
      <c r="K3" s="4" t="s">
        <v>74</v>
      </c>
      <c r="L3" s="5"/>
      <c r="M3" s="5">
        <f>52/4*59.34</f>
        <v>771.42000000000007</v>
      </c>
      <c r="N3" s="5">
        <f>52*26.49</f>
        <v>1377.48</v>
      </c>
      <c r="O3" s="22"/>
      <c r="P3" s="22"/>
      <c r="Q3" s="22"/>
    </row>
    <row r="4" spans="1:22">
      <c r="A4" s="3" t="s">
        <v>11</v>
      </c>
      <c r="B4" s="3" t="s">
        <v>55</v>
      </c>
      <c r="C4" s="3" t="s">
        <v>57</v>
      </c>
      <c r="D4" s="12" t="s">
        <v>23</v>
      </c>
      <c r="E4" s="12" t="s">
        <v>15</v>
      </c>
      <c r="F4" s="3" t="s">
        <v>58</v>
      </c>
      <c r="G4" s="3" t="s">
        <v>59</v>
      </c>
      <c r="H4" s="3" t="s">
        <v>61</v>
      </c>
      <c r="I4" s="3" t="s">
        <v>62</v>
      </c>
      <c r="J4" s="11">
        <v>4.2699999999999996</v>
      </c>
      <c r="K4" s="4" t="s">
        <v>60</v>
      </c>
      <c r="L4" s="5"/>
      <c r="M4" s="5">
        <f>365/30*4.27</f>
        <v>51.951666666666661</v>
      </c>
      <c r="N4" s="5">
        <f>(365*2/30)*4.27</f>
        <v>103.90333333333332</v>
      </c>
      <c r="O4" s="22"/>
      <c r="P4" s="22"/>
      <c r="Q4" s="22"/>
    </row>
    <row r="5" spans="1:22">
      <c r="A5" s="3" t="s">
        <v>12</v>
      </c>
      <c r="B5" s="3" t="s">
        <v>56</v>
      </c>
      <c r="C5" s="3" t="s">
        <v>35</v>
      </c>
      <c r="D5" s="12" t="s">
        <v>23</v>
      </c>
      <c r="E5" s="12" t="s">
        <v>15</v>
      </c>
      <c r="F5" s="3" t="s">
        <v>63</v>
      </c>
      <c r="G5" s="3" t="s">
        <v>64</v>
      </c>
      <c r="H5" s="3" t="s">
        <v>65</v>
      </c>
      <c r="I5" s="3" t="s">
        <v>66</v>
      </c>
      <c r="J5" s="11">
        <v>12.97</v>
      </c>
      <c r="K5" s="4" t="s">
        <v>60</v>
      </c>
      <c r="L5" s="5"/>
      <c r="M5" s="5">
        <f>365*(2/100)*12.97</f>
        <v>94.680999999999997</v>
      </c>
      <c r="N5" s="5">
        <f>365*(4/100)*12.97</f>
        <v>189.36199999999999</v>
      </c>
      <c r="O5" s="22"/>
      <c r="P5" s="22"/>
      <c r="Q5" s="22"/>
      <c r="R5" s="6" t="s">
        <v>147</v>
      </c>
      <c r="U5" s="6" t="s">
        <v>148</v>
      </c>
    </row>
    <row r="6" spans="1:22">
      <c r="A6" s="13" t="s">
        <v>75</v>
      </c>
      <c r="B6" s="3"/>
      <c r="C6" s="3"/>
      <c r="D6" s="12"/>
      <c r="E6" s="12"/>
      <c r="F6" s="3"/>
      <c r="G6" s="3"/>
      <c r="H6" s="3"/>
      <c r="I6" s="3"/>
      <c r="J6" s="11"/>
      <c r="K6" s="4"/>
      <c r="L6" s="2"/>
      <c r="M6" s="14">
        <f>M2+M4+M5</f>
        <v>177.83266666666665</v>
      </c>
      <c r="N6" s="14">
        <f>N2+N4+N5</f>
        <v>432.10533333333331</v>
      </c>
      <c r="O6" s="23"/>
      <c r="P6" s="23"/>
      <c r="Q6" s="33" t="s">
        <v>155</v>
      </c>
      <c r="R6" s="6" t="s">
        <v>145</v>
      </c>
      <c r="S6" s="6" t="s">
        <v>146</v>
      </c>
      <c r="U6" s="6" t="s">
        <v>145</v>
      </c>
      <c r="V6" s="6" t="s">
        <v>146</v>
      </c>
    </row>
    <row r="7" spans="1:22" ht="56.25">
      <c r="A7" s="3" t="s">
        <v>154</v>
      </c>
      <c r="B7" s="3" t="s">
        <v>150</v>
      </c>
      <c r="C7" s="3" t="s">
        <v>151</v>
      </c>
      <c r="D7" s="3" t="s">
        <v>43</v>
      </c>
      <c r="E7" s="3" t="s">
        <v>41</v>
      </c>
      <c r="F7" s="3" t="s">
        <v>9</v>
      </c>
      <c r="G7" s="3" t="s">
        <v>44</v>
      </c>
      <c r="H7" s="3" t="s">
        <v>83</v>
      </c>
      <c r="I7" s="3" t="s">
        <v>84</v>
      </c>
      <c r="J7" s="11" t="s">
        <v>152</v>
      </c>
      <c r="K7" s="4" t="s">
        <v>153</v>
      </c>
      <c r="L7" s="2" t="s">
        <v>28</v>
      </c>
      <c r="M7" s="5">
        <f>(3+(52-6)/8)*(390.3+366.13)+M2</f>
        <v>6649.9625000000005</v>
      </c>
      <c r="N7" s="5">
        <f>(3+(52-6)/8)*(390.3+366.13)+N3</f>
        <v>7996.2425000000003</v>
      </c>
      <c r="O7" s="22"/>
      <c r="P7" s="22"/>
      <c r="Q7" s="3" t="s">
        <v>154</v>
      </c>
      <c r="R7" s="20">
        <f>M7/M$6</f>
        <v>37.394493512627982</v>
      </c>
      <c r="S7" s="20">
        <f>N7/N$6</f>
        <v>18.50530850502501</v>
      </c>
      <c r="T7" s="20"/>
      <c r="U7" s="21">
        <f>M7-M$6</f>
        <v>6472.1298333333343</v>
      </c>
      <c r="V7" s="21">
        <f>N7-N$6</f>
        <v>7564.1371666666673</v>
      </c>
    </row>
    <row r="8" spans="1:22" ht="45">
      <c r="A8" s="29" t="s">
        <v>85</v>
      </c>
      <c r="B8" s="3" t="s">
        <v>99</v>
      </c>
      <c r="C8" s="3" t="s">
        <v>35</v>
      </c>
      <c r="D8" s="3" t="s">
        <v>97</v>
      </c>
      <c r="E8" s="3" t="s">
        <v>54</v>
      </c>
      <c r="F8" s="3" t="s">
        <v>13</v>
      </c>
      <c r="G8" s="3" t="s">
        <v>94</v>
      </c>
      <c r="H8" s="3" t="s">
        <v>93</v>
      </c>
      <c r="I8" s="3" t="s">
        <v>98</v>
      </c>
      <c r="J8" s="11" t="s">
        <v>95</v>
      </c>
      <c r="K8" s="4" t="s">
        <v>96</v>
      </c>
      <c r="L8" s="5"/>
      <c r="M8" s="5">
        <f>52*88.9*2+M2</f>
        <v>9276.8000000000011</v>
      </c>
      <c r="N8" s="5">
        <f>(52*791.87/4)+N3</f>
        <v>11671.789999999999</v>
      </c>
      <c r="O8" s="22"/>
      <c r="P8" s="22"/>
      <c r="Q8" s="29" t="s">
        <v>85</v>
      </c>
      <c r="R8" s="20">
        <f t="shared" ref="R8:R17" si="0">M8/M$6</f>
        <v>52.165893780295342</v>
      </c>
      <c r="S8" s="20">
        <f t="shared" ref="S8:S17" si="1">N8/N$6</f>
        <v>27.011446283159351</v>
      </c>
      <c r="T8" s="20"/>
      <c r="U8" s="21">
        <f t="shared" ref="U8:U17" si="2">M8-M$6</f>
        <v>9098.967333333334</v>
      </c>
      <c r="V8" s="21">
        <f t="shared" ref="V8:V17" si="3">N8-N$6</f>
        <v>11239.684666666666</v>
      </c>
    </row>
    <row r="9" spans="1:22" ht="22.5">
      <c r="A9" s="30"/>
      <c r="B9" s="3" t="s">
        <v>100</v>
      </c>
      <c r="C9" s="3" t="s">
        <v>101</v>
      </c>
      <c r="D9" s="3" t="s">
        <v>102</v>
      </c>
      <c r="E9" s="3" t="s">
        <v>92</v>
      </c>
      <c r="F9" s="3" t="s">
        <v>103</v>
      </c>
      <c r="G9" s="3" t="s">
        <v>104</v>
      </c>
      <c r="H9" s="3" t="s">
        <v>105</v>
      </c>
      <c r="I9" s="3" t="s">
        <v>98</v>
      </c>
      <c r="J9" s="11">
        <v>678.42</v>
      </c>
      <c r="K9" s="4" t="s">
        <v>106</v>
      </c>
      <c r="L9" s="5"/>
      <c r="M9" s="5">
        <f>(52*678.42/4)+M2</f>
        <v>8850.66</v>
      </c>
      <c r="N9" s="5">
        <f>(52*678.42/4)+N3</f>
        <v>10196.939999999999</v>
      </c>
      <c r="O9" s="22"/>
      <c r="P9" s="22"/>
      <c r="Q9" s="30"/>
      <c r="R9" s="20">
        <f t="shared" si="0"/>
        <v>49.769596137192643</v>
      </c>
      <c r="S9" s="20">
        <f t="shared" si="1"/>
        <v>23.59827387766563</v>
      </c>
      <c r="T9" s="20"/>
      <c r="U9" s="21">
        <f t="shared" si="2"/>
        <v>8672.8273333333327</v>
      </c>
      <c r="V9" s="21">
        <f t="shared" si="3"/>
        <v>9764.8346666666657</v>
      </c>
    </row>
    <row r="10" spans="1:22" ht="45">
      <c r="A10" s="3" t="s">
        <v>86</v>
      </c>
      <c r="B10" s="3" t="s">
        <v>29</v>
      </c>
      <c r="C10" s="3" t="s">
        <v>30</v>
      </c>
      <c r="D10" s="3" t="s">
        <v>109</v>
      </c>
      <c r="E10" s="3" t="s">
        <v>54</v>
      </c>
      <c r="F10" s="3" t="s">
        <v>110</v>
      </c>
      <c r="G10" s="3" t="s">
        <v>111</v>
      </c>
      <c r="H10" s="3" t="s">
        <v>107</v>
      </c>
      <c r="I10" s="3" t="s">
        <v>108</v>
      </c>
      <c r="J10" s="11" t="s">
        <v>112</v>
      </c>
      <c r="K10" s="4" t="s">
        <v>113</v>
      </c>
      <c r="L10" s="5"/>
      <c r="M10" s="5">
        <f>((52/2)*859.38/2)+M2</f>
        <v>11203.140000000001</v>
      </c>
      <c r="N10" s="5">
        <f>(52*859.38/2)+N3</f>
        <v>23721.360000000001</v>
      </c>
      <c r="O10" s="22"/>
      <c r="P10" s="22"/>
      <c r="Q10" s="3" t="s">
        <v>86</v>
      </c>
      <c r="R10" s="20">
        <f t="shared" si="0"/>
        <v>62.998211802106113</v>
      </c>
      <c r="S10" s="20">
        <f t="shared" si="1"/>
        <v>54.897170134442533</v>
      </c>
      <c r="T10" s="20"/>
      <c r="U10" s="21">
        <f t="shared" si="2"/>
        <v>11025.307333333334</v>
      </c>
      <c r="V10" s="21">
        <f t="shared" si="3"/>
        <v>23289.254666666668</v>
      </c>
    </row>
    <row r="11" spans="1:22" ht="56.25">
      <c r="A11" s="3" t="s">
        <v>87</v>
      </c>
      <c r="B11" s="3" t="s">
        <v>31</v>
      </c>
      <c r="C11" s="3" t="s">
        <v>32</v>
      </c>
      <c r="D11" s="3" t="s">
        <v>76</v>
      </c>
      <c r="E11" s="3" t="s">
        <v>54</v>
      </c>
      <c r="F11" s="3" t="s">
        <v>119</v>
      </c>
      <c r="G11" s="3" t="s">
        <v>118</v>
      </c>
      <c r="H11" s="3" t="s">
        <v>120</v>
      </c>
      <c r="I11" s="3" t="s">
        <v>120</v>
      </c>
      <c r="J11" s="11" t="s">
        <v>116</v>
      </c>
      <c r="K11" s="4" t="s">
        <v>117</v>
      </c>
      <c r="L11" s="5"/>
      <c r="M11" s="5">
        <f>(3*773.41+(46/2)*773.41/2)+M2</f>
        <v>11245.645</v>
      </c>
      <c r="N11" s="5">
        <f>(3*773.41+46/4*773.41)+N3</f>
        <v>12591.924999999999</v>
      </c>
      <c r="O11" s="22"/>
      <c r="P11" s="22"/>
      <c r="Q11" s="3" t="s">
        <v>87</v>
      </c>
      <c r="R11" s="20">
        <f t="shared" si="0"/>
        <v>63.23722863066029</v>
      </c>
      <c r="S11" s="20">
        <f t="shared" si="1"/>
        <v>29.140869201645277</v>
      </c>
      <c r="T11" s="20"/>
      <c r="U11" s="21">
        <f t="shared" si="2"/>
        <v>11067.812333333333</v>
      </c>
      <c r="V11" s="21">
        <f t="shared" si="3"/>
        <v>12159.819666666666</v>
      </c>
    </row>
    <row r="12" spans="1:22" ht="22.5">
      <c r="A12" s="3" t="s">
        <v>88</v>
      </c>
      <c r="B12" s="3" t="s">
        <v>33</v>
      </c>
      <c r="C12" s="3" t="s">
        <v>34</v>
      </c>
      <c r="D12" s="3" t="s">
        <v>78</v>
      </c>
      <c r="E12" s="3" t="s">
        <v>54</v>
      </c>
      <c r="F12" s="3" t="s">
        <v>77</v>
      </c>
      <c r="G12" s="3" t="s">
        <v>79</v>
      </c>
      <c r="H12" s="3" t="s">
        <v>123</v>
      </c>
      <c r="I12" s="3" t="s">
        <v>124</v>
      </c>
      <c r="J12" s="11" t="s">
        <v>121</v>
      </c>
      <c r="K12" s="4" t="s">
        <v>122</v>
      </c>
      <c r="L12" s="5"/>
      <c r="M12" s="5">
        <f>(12*934.11)+M2</f>
        <v>11240.52</v>
      </c>
      <c r="N12" s="5">
        <f>(12*934.11)+N3</f>
        <v>12586.8</v>
      </c>
      <c r="O12" s="22"/>
      <c r="P12" s="22"/>
      <c r="Q12" s="3" t="s">
        <v>88</v>
      </c>
      <c r="R12" s="20">
        <f t="shared" si="0"/>
        <v>63.208409403596647</v>
      </c>
      <c r="S12" s="20">
        <f t="shared" si="1"/>
        <v>29.129008667639681</v>
      </c>
      <c r="T12" s="20"/>
      <c r="U12" s="21">
        <f t="shared" si="2"/>
        <v>11062.687333333333</v>
      </c>
      <c r="V12" s="21">
        <f t="shared" si="3"/>
        <v>12154.694666666666</v>
      </c>
    </row>
    <row r="13" spans="1:22" ht="45">
      <c r="A13" s="3" t="s">
        <v>89</v>
      </c>
      <c r="B13" s="3" t="s">
        <v>36</v>
      </c>
      <c r="C13" s="3" t="s">
        <v>37</v>
      </c>
      <c r="D13" s="3" t="s">
        <v>81</v>
      </c>
      <c r="E13" s="3" t="s">
        <v>80</v>
      </c>
      <c r="F13" s="3" t="s">
        <v>127</v>
      </c>
      <c r="G13" s="3" t="s">
        <v>128</v>
      </c>
      <c r="H13" s="3" t="s">
        <v>125</v>
      </c>
      <c r="I13" s="3" t="s">
        <v>126</v>
      </c>
      <c r="J13" s="3" t="s">
        <v>129</v>
      </c>
      <c r="K13" s="4" t="s">
        <v>82</v>
      </c>
      <c r="L13" s="2" t="s">
        <v>28</v>
      </c>
      <c r="M13" s="5">
        <f>2*(1346.04+366.13)+M2</f>
        <v>3455.54</v>
      </c>
      <c r="N13" s="5">
        <f>2*(1346.04+366.13)*2+N3</f>
        <v>8226.16</v>
      </c>
      <c r="O13" s="22"/>
      <c r="P13" s="22"/>
      <c r="Q13" s="3" t="s">
        <v>89</v>
      </c>
      <c r="R13" s="20">
        <f t="shared" si="0"/>
        <v>19.431413051220439</v>
      </c>
      <c r="S13" s="20">
        <f t="shared" si="1"/>
        <v>19.037395203021486</v>
      </c>
      <c r="T13" s="20"/>
      <c r="U13" s="21">
        <f t="shared" si="2"/>
        <v>3277.7073333333333</v>
      </c>
      <c r="V13" s="21">
        <f t="shared" si="3"/>
        <v>7794.0546666666669</v>
      </c>
    </row>
    <row r="14" spans="1:22" ht="33.75">
      <c r="A14" s="29" t="s">
        <v>90</v>
      </c>
      <c r="B14" s="29" t="s">
        <v>38</v>
      </c>
      <c r="C14" s="29" t="s">
        <v>37</v>
      </c>
      <c r="D14" s="3" t="s">
        <v>130</v>
      </c>
      <c r="E14" s="3" t="s">
        <v>141</v>
      </c>
      <c r="F14" s="3" t="s">
        <v>137</v>
      </c>
      <c r="G14" s="3" t="s">
        <v>140</v>
      </c>
      <c r="H14" s="3" t="s">
        <v>142</v>
      </c>
      <c r="I14" s="3" t="s">
        <v>143</v>
      </c>
      <c r="J14" s="3" t="s">
        <v>135</v>
      </c>
      <c r="K14" s="4" t="s">
        <v>136</v>
      </c>
      <c r="L14" s="2" t="s">
        <v>28</v>
      </c>
      <c r="M14" s="5">
        <f>52/4*(316.23+126.49+366.13)+M2</f>
        <v>10546.250000000002</v>
      </c>
      <c r="N14" s="5">
        <f>52/4*((632.46*2)+366.13)+M2</f>
        <v>21234.850000000002</v>
      </c>
      <c r="O14" s="22"/>
      <c r="P14" s="22"/>
      <c r="Q14" s="29" t="s">
        <v>90</v>
      </c>
      <c r="R14" s="20">
        <f t="shared" si="0"/>
        <v>59.304346033162275</v>
      </c>
      <c r="S14" s="20">
        <f t="shared" si="1"/>
        <v>49.142763030001952</v>
      </c>
      <c r="T14" s="20"/>
      <c r="U14" s="21">
        <f t="shared" si="2"/>
        <v>10368.417333333335</v>
      </c>
      <c r="V14" s="21">
        <f t="shared" si="3"/>
        <v>20802.744666666669</v>
      </c>
    </row>
    <row r="15" spans="1:22" ht="22.5">
      <c r="A15" s="30"/>
      <c r="B15" s="30"/>
      <c r="C15" s="30"/>
      <c r="D15" s="3" t="s">
        <v>138</v>
      </c>
      <c r="E15" s="3" t="s">
        <v>54</v>
      </c>
      <c r="F15" s="3" t="s">
        <v>131</v>
      </c>
      <c r="G15" s="3" t="s">
        <v>132</v>
      </c>
      <c r="H15" s="3" t="s">
        <v>139</v>
      </c>
      <c r="I15" s="3" t="s">
        <v>98</v>
      </c>
      <c r="J15" s="11" t="s">
        <v>133</v>
      </c>
      <c r="K15" s="4" t="s">
        <v>134</v>
      </c>
      <c r="L15" s="2"/>
      <c r="M15" s="5">
        <f>52*990.39/4+M2</f>
        <v>12906.27</v>
      </c>
      <c r="N15" s="5">
        <f>52*224.62+N3</f>
        <v>13057.72</v>
      </c>
      <c r="O15" s="22"/>
      <c r="P15" s="22"/>
      <c r="Q15" s="30"/>
      <c r="R15" s="20">
        <f t="shared" si="0"/>
        <v>72.575361107258146</v>
      </c>
      <c r="S15" s="20">
        <f t="shared" si="1"/>
        <v>30.218835530842789</v>
      </c>
      <c r="T15" s="20"/>
      <c r="U15" s="21">
        <f t="shared" si="2"/>
        <v>12728.437333333333</v>
      </c>
      <c r="V15" s="21">
        <f t="shared" si="3"/>
        <v>12625.614666666666</v>
      </c>
    </row>
    <row r="16" spans="1:22" ht="22.5">
      <c r="A16" s="29" t="s">
        <v>91</v>
      </c>
      <c r="B16" s="29" t="s">
        <v>39</v>
      </c>
      <c r="C16" s="29" t="s">
        <v>40</v>
      </c>
      <c r="D16" s="3" t="s">
        <v>43</v>
      </c>
      <c r="E16" s="3" t="s">
        <v>41</v>
      </c>
      <c r="F16" s="3" t="s">
        <v>42</v>
      </c>
      <c r="G16" s="3" t="s">
        <v>44</v>
      </c>
      <c r="H16" s="3" t="s">
        <v>45</v>
      </c>
      <c r="I16" s="3" t="s">
        <v>46</v>
      </c>
      <c r="J16" s="11">
        <v>319.52</v>
      </c>
      <c r="K16" s="4" t="s">
        <v>47</v>
      </c>
      <c r="L16" s="2" t="s">
        <v>28</v>
      </c>
      <c r="M16" s="5">
        <f>(3+(46/4))*((2*319.52)+366.13)+M2</f>
        <v>14606.165000000001</v>
      </c>
      <c r="N16" s="5">
        <f>(3+(46/4))*((4*319.52)+366.13)+N3</f>
        <v>25218.525000000001</v>
      </c>
      <c r="O16" s="22"/>
      <c r="P16" s="22"/>
      <c r="Q16" s="29" t="s">
        <v>91</v>
      </c>
      <c r="R16" s="20">
        <f t="shared" si="0"/>
        <v>82.134319153961229</v>
      </c>
      <c r="S16" s="20">
        <f t="shared" si="1"/>
        <v>58.36198504068453</v>
      </c>
      <c r="T16" s="20"/>
      <c r="U16" s="21">
        <f t="shared" si="2"/>
        <v>14428.332333333334</v>
      </c>
      <c r="V16" s="21">
        <f t="shared" si="3"/>
        <v>24786.419666666668</v>
      </c>
    </row>
    <row r="17" spans="1:22" ht="33.75">
      <c r="A17" s="30"/>
      <c r="B17" s="30"/>
      <c r="C17" s="30"/>
      <c r="D17" s="3" t="s">
        <v>48</v>
      </c>
      <c r="E17" s="3" t="s">
        <v>54</v>
      </c>
      <c r="F17" s="3" t="s">
        <v>49</v>
      </c>
      <c r="G17" s="3" t="s">
        <v>50</v>
      </c>
      <c r="H17" s="3" t="s">
        <v>51</v>
      </c>
      <c r="I17" s="3" t="s">
        <v>52</v>
      </c>
      <c r="J17" s="11" t="s">
        <v>53</v>
      </c>
      <c r="K17" s="4" t="s">
        <v>144</v>
      </c>
      <c r="L17" s="2" t="s">
        <v>28</v>
      </c>
      <c r="M17" s="5">
        <f>(52/4)*947.88+M2</f>
        <v>12353.640000000001</v>
      </c>
      <c r="N17" s="5">
        <f>M17+366.13-M2+N3</f>
        <v>14066.05</v>
      </c>
      <c r="O17" s="22"/>
      <c r="P17" s="22"/>
      <c r="Q17" s="30"/>
      <c r="R17" s="20">
        <f t="shared" si="0"/>
        <v>69.467776823905638</v>
      </c>
      <c r="S17" s="20">
        <f t="shared" si="1"/>
        <v>32.552363775499181</v>
      </c>
      <c r="T17" s="20"/>
      <c r="U17" s="21">
        <f t="shared" si="2"/>
        <v>12175.807333333334</v>
      </c>
      <c r="V17" s="21">
        <f t="shared" si="3"/>
        <v>13633.944666666666</v>
      </c>
    </row>
    <row r="18" spans="1:22" ht="22.5">
      <c r="Q18" s="32" t="s">
        <v>149</v>
      </c>
      <c r="R18" s="19">
        <f>AVERAGE(R7:R17)</f>
        <v>57.426095403271525</v>
      </c>
      <c r="S18" s="19">
        <f>AVERAGE(S7:S17)</f>
        <v>33.781401749966136</v>
      </c>
      <c r="T18" s="25" t="s">
        <v>149</v>
      </c>
      <c r="U18" s="21">
        <f>AVERAGE(U7:U17)</f>
        <v>10034.403015151516</v>
      </c>
      <c r="V18" s="21">
        <f>AVERAGE(V7:V17)</f>
        <v>14165.01853030303</v>
      </c>
    </row>
    <row r="19" spans="1:22">
      <c r="A19" s="26" t="s">
        <v>114</v>
      </c>
      <c r="B19" s="26"/>
      <c r="C19" s="26"/>
      <c r="D19" s="26"/>
      <c r="E19" s="26"/>
      <c r="F19" s="26"/>
      <c r="G19" s="26"/>
      <c r="H19" s="26"/>
    </row>
    <row r="21" spans="1:22">
      <c r="A21" s="26" t="s">
        <v>115</v>
      </c>
      <c r="B21" s="26"/>
      <c r="C21" s="26"/>
      <c r="D21" s="26"/>
      <c r="E21" s="26"/>
      <c r="F21" s="26"/>
      <c r="G21" s="26"/>
      <c r="H21" s="26"/>
    </row>
  </sheetData>
  <mergeCells count="13">
    <mergeCell ref="Q8:Q9"/>
    <mergeCell ref="Q14:Q15"/>
    <mergeCell ref="Q16:Q17"/>
    <mergeCell ref="A19:H19"/>
    <mergeCell ref="A21:H21"/>
    <mergeCell ref="A2:A3"/>
    <mergeCell ref="A16:A17"/>
    <mergeCell ref="B16:B17"/>
    <mergeCell ref="C16:C17"/>
    <mergeCell ref="A8:A9"/>
    <mergeCell ref="A14:A15"/>
    <mergeCell ref="B14:B15"/>
    <mergeCell ref="C14:C1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9FD3BB943054295B3E1CE82E63B71" ma:contentTypeVersion="2" ma:contentTypeDescription="Crée un document." ma:contentTypeScope="" ma:versionID="ff52ed39b83b317bbea0edf4c905bc41">
  <xsd:schema xmlns:xsd="http://www.w3.org/2001/XMLSchema" xmlns:xs="http://www.w3.org/2001/XMLSchema" xmlns:p="http://schemas.microsoft.com/office/2006/metadata/properties" xmlns:ns2="0c956ac3-3f2d-4eaf-bfd8-aab632e83a4f" targetNamespace="http://schemas.microsoft.com/office/2006/metadata/properties" ma:root="true" ma:fieldsID="ac70a2e33a3dd538a8e046187847f4e5" ns2:_="">
    <xsd:import namespace="0c956ac3-3f2d-4eaf-bfd8-aab632e83a4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6ac3-3f2d-4eaf-bfd8-aab632e83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287DF1-9325-43B0-8E83-5A7912FA2742}"/>
</file>

<file path=customXml/itemProps2.xml><?xml version="1.0" encoding="utf-8"?>
<ds:datastoreItem xmlns:ds="http://schemas.openxmlformats.org/officeDocument/2006/customXml" ds:itemID="{AA82C4BE-833C-41DC-8193-5522271954B8}"/>
</file>

<file path=customXml/itemProps3.xml><?xml version="1.0" encoding="utf-8"?>
<ds:datastoreItem xmlns:ds="http://schemas.openxmlformats.org/officeDocument/2006/customXml" ds:itemID="{77F8753B-4ED7-42B5-A775-9C0855113B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Graphiques</vt:lpstr>
      </vt:variant>
      <vt:variant>
        <vt:i4>2</vt:i4>
      </vt:variant>
    </vt:vector>
  </HeadingPairs>
  <TitlesOfParts>
    <vt:vector size="5" baseType="lpstr">
      <vt:lpstr>Tableau</vt:lpstr>
      <vt:lpstr>Feuil2</vt:lpstr>
      <vt:lpstr>Feuil3</vt:lpstr>
      <vt:lpstr>Multiples de coûts annuels de t</vt:lpstr>
      <vt:lpstr>Différentiels de coûts annuels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fpesty</dc:creator>
  <cp:lastModifiedBy>fpesty</cp:lastModifiedBy>
  <dcterms:created xsi:type="dcterms:W3CDTF">2016-11-05T06:06:48Z</dcterms:created>
  <dcterms:modified xsi:type="dcterms:W3CDTF">2016-11-10T22:24:44Z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0x0101001159FD3BB943054295B3E1CE82E63B71</vt:lpwstr>
  </property>
</Properties>
</file>